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655" windowWidth="11580" windowHeight="297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<sst xmlns="http://schemas.openxmlformats.org/spreadsheetml/2006/main" count="171" uniqueCount="123">
  <si>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</si>
  <si>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</si>
  <si>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</si>
  <si>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</si>
  <si>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</si>
  <si>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</si>
  <si>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</si>
  <si>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</si>
  <si>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</si>
  <si>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</si>
  <si>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</si>
  <si>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</si>
  <si>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</si>
  <si>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</si>
  <si>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</si>
  <si>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</si>
  <si>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</si>
  <si>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</si>
  <si>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</si>
  <si>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</si>
  <si>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</si>
  <si>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</si>
  <si>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</si>
  <si>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</si>
  <si>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</si>
  <si>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</si>
  <si>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</si>
  <si>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</si>
  <si>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</si>
  <si>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</si>
  <si>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</si>
  <si>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</si>
  <si>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</si>
  <si>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</si>
  <si>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</si>
  <si>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</si>
  <si>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</si>
  <si>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</si>
  <si>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</si>
  <si>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</si>
  <si>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</si>
  <si>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</si>
  <si>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</si>
  <si>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</si>
  <si>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</si>
  <si>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</si>
  <si>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</si>
  <si>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</si>
  <si>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</si>
  <si>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</si>
  <si>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</si>
  <si>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</si>
  <si>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</si>
  <si>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</si>
  <si>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</si>
  <si>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Міськ.прогр.заходів щодо розроблення стратегічного плану розвитку територіальної громади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</si>
  <si>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</si>
  <si>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</si>
  <si>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</si>
  <si>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Програма сприяння розвитку підприємництва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</si>
  <si>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</si>
  <si>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</si>
  <si>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</si>
  <si>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</si>
  <si>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</si>
  <si>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</si>
  <si>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</si>
  <si>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</si>
  <si>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</si>
  <si>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</si>
  <si>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</si>
  <si>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</si>
  <si>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</si>
  <si>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(061007)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</si>
  <si>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</si>
  <si>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</si>
  <si>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</si>
  <si>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</si>
  <si>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</si>
  <si>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</si>
  <si>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</si>
  <si>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</si>
  <si>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</si>
  <si>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</si>
  <si>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</si>
  <si>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</si>
  <si>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</si>
  <si>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</si>
  <si>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</si>
  <si>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</si>
  <si>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</si>
  <si>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</si>
  <si>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</si>
  <si>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</si>
  <si>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</si>
  <si>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</si>
  <si>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</si>
  <si>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Програма розвитку персоналу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</si>
  <si>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</si>
  <si>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</si>
  <si>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</si>
  <si>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</si>
  <si>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</si>
  <si>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</si>
  <si>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</si>
  <si>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</si>
  <si>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</si>
  <si>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Дорожній фонд (170703)</t>
  </si>
  <si>
    <t>Природоохоронні заходи (200600, 200700)</t>
  </si>
  <si>
    <t>Реверсна дотація (250301)</t>
  </si>
  <si>
    <t>Субвенція державному бюджету на виконання програм соціально-економічного та культурного розвитку регіонів (250344)</t>
  </si>
  <si>
    <t>Обслуговування боргу (230000)</t>
  </si>
  <si>
    <t>Пільгове перевезення (170102, 170602)</t>
  </si>
  <si>
    <t>Програма підтримки об'єднань співвласників баготоквартирних будинків ОСББ</t>
  </si>
  <si>
    <t>Програма забезпечення амбулаторного лікування хворих нефрологічного профілю</t>
  </si>
  <si>
    <t>в т.ч. трансферти населенню</t>
  </si>
  <si>
    <t>Тимчасовий план на січень, тис.грн.</t>
  </si>
  <si>
    <t>Тимчасовий план на 1 квартал, тис.грн.</t>
  </si>
  <si>
    <t>Відсоток виконання тимчасового плану січня</t>
  </si>
  <si>
    <t>Відсоток виконання тимчасового плану на 1 квартал</t>
  </si>
  <si>
    <t>Відхилення від тимчасового плану січня, тис.грн.</t>
  </si>
  <si>
    <t>Відхилення від тимчасового плану на 1 квартал, тис.грн.</t>
  </si>
  <si>
    <t>Аналіз використання коштів міського бюджету за 2015 рік станом на 27.01.2016 року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</si>
</sst>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#,##0.0"/>
    <numFmt numFmtId="175" formatCode="#,##0.00000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b/>
      <sz val="14"/>
      <color indexed="9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6" fillId="7" borderId="1" applyNumberFormat="0" applyAlignment="0" applyProtection="0"/>
    <xf numFmtId="0" fontId="37" fillId="20" borderId="2" applyNumberFormat="0" applyAlignment="0" applyProtection="0"/>
    <xf numFmtId="0" fontId="3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1" borderId="7" applyNumberFormat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2" fillId="0" borderId="0">
      <alignment/>
      <protection/>
    </xf>
    <xf numFmtId="0" fontId="46" fillId="3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4" borderId="0" applyNumberFormat="0" applyBorder="0" applyAlignment="0" applyProtection="0"/>
  </cellStyleXfs>
  <cellXfs count="142">
    <xf numFmtId="0" fontId="0" fillId="0" borderId="0" xfId="0" applyAlignment="1">
      <alignment/>
    </xf>
    <xf numFmtId="173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3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73" fontId="6" fillId="0" borderId="0" xfId="0" applyNumberFormat="1" applyFont="1" applyAlignment="1">
      <alignment/>
    </xf>
    <xf numFmtId="173" fontId="4" fillId="0" borderId="10" xfId="0" applyNumberFormat="1" applyFont="1" applyFill="1" applyBorder="1" applyAlignment="1">
      <alignment/>
    </xf>
    <xf numFmtId="173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73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73" fontId="4" fillId="0" borderId="15" xfId="0" applyNumberFormat="1" applyFont="1" applyFill="1" applyBorder="1" applyAlignment="1">
      <alignment/>
    </xf>
    <xf numFmtId="173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3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73" fontId="5" fillId="0" borderId="16" xfId="0" applyNumberFormat="1" applyFont="1" applyFill="1" applyBorder="1" applyAlignment="1">
      <alignment/>
    </xf>
    <xf numFmtId="173" fontId="5" fillId="24" borderId="11" xfId="0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7" xfId="0" applyFont="1" applyFill="1" applyBorder="1" applyAlignment="1">
      <alignment wrapText="1"/>
    </xf>
    <xf numFmtId="0" fontId="5" fillId="24" borderId="17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73" fontId="3" fillId="0" borderId="10" xfId="0" applyNumberFormat="1" applyFont="1" applyFill="1" applyBorder="1" applyAlignment="1">
      <alignment horizontal="center"/>
    </xf>
    <xf numFmtId="173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73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173" fontId="5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wrapText="1"/>
    </xf>
    <xf numFmtId="174" fontId="3" fillId="0" borderId="12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4" fillId="24" borderId="13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/>
    </xf>
    <xf numFmtId="174" fontId="4" fillId="24" borderId="11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 horizontal="right"/>
    </xf>
    <xf numFmtId="174" fontId="4" fillId="24" borderId="11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wrapText="1"/>
    </xf>
    <xf numFmtId="174" fontId="5" fillId="0" borderId="12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 wrapText="1"/>
    </xf>
    <xf numFmtId="174" fontId="5" fillId="0" borderId="13" xfId="0" applyNumberFormat="1" applyFont="1" applyFill="1" applyBorder="1" applyAlignment="1">
      <alignment wrapText="1"/>
    </xf>
    <xf numFmtId="174" fontId="4" fillId="0" borderId="13" xfId="0" applyNumberFormat="1" applyFont="1" applyFill="1" applyBorder="1" applyAlignment="1">
      <alignment/>
    </xf>
    <xf numFmtId="174" fontId="4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horizontal="left" wrapText="1"/>
    </xf>
    <xf numFmtId="174" fontId="4" fillId="0" borderId="12" xfId="0" applyNumberFormat="1" applyFont="1" applyFill="1" applyBorder="1" applyAlignment="1">
      <alignment/>
    </xf>
    <xf numFmtId="174" fontId="4" fillId="0" borderId="10" xfId="0" applyNumberFormat="1" applyFont="1" applyFill="1" applyBorder="1" applyAlignment="1">
      <alignment/>
    </xf>
    <xf numFmtId="174" fontId="5" fillId="0" borderId="13" xfId="0" applyNumberFormat="1" applyFont="1" applyFill="1" applyBorder="1" applyAlignment="1">
      <alignment/>
    </xf>
    <xf numFmtId="174" fontId="5" fillId="0" borderId="11" xfId="0" applyNumberFormat="1" applyFont="1" applyFill="1" applyBorder="1" applyAlignment="1">
      <alignment/>
    </xf>
    <xf numFmtId="174" fontId="7" fillId="0" borderId="12" xfId="0" applyNumberFormat="1" applyFont="1" applyFill="1" applyBorder="1" applyAlignment="1">
      <alignment wrapText="1"/>
    </xf>
    <xf numFmtId="174" fontId="5" fillId="0" borderId="17" xfId="0" applyNumberFormat="1" applyFont="1" applyFill="1" applyBorder="1" applyAlignment="1">
      <alignment wrapText="1"/>
    </xf>
    <xf numFmtId="174" fontId="4" fillId="0" borderId="17" xfId="0" applyNumberFormat="1" applyFont="1" applyFill="1" applyBorder="1" applyAlignment="1">
      <alignment/>
    </xf>
    <xf numFmtId="174" fontId="4" fillId="0" borderId="14" xfId="0" applyNumberFormat="1" applyFont="1" applyFill="1" applyBorder="1" applyAlignment="1">
      <alignment/>
    </xf>
    <xf numFmtId="174" fontId="5" fillId="24" borderId="17" xfId="0" applyNumberFormat="1" applyFont="1" applyFill="1" applyBorder="1" applyAlignment="1">
      <alignment wrapText="1"/>
    </xf>
    <xf numFmtId="174" fontId="4" fillId="24" borderId="17" xfId="0" applyNumberFormat="1" applyFont="1" applyFill="1" applyBorder="1" applyAlignment="1">
      <alignment/>
    </xf>
    <xf numFmtId="174" fontId="4" fillId="24" borderId="14" xfId="0" applyNumberFormat="1" applyFont="1" applyFill="1" applyBorder="1" applyAlignment="1">
      <alignment/>
    </xf>
    <xf numFmtId="174" fontId="5" fillId="0" borderId="14" xfId="0" applyNumberFormat="1" applyFont="1" applyFill="1" applyBorder="1" applyAlignment="1">
      <alignment wrapText="1"/>
    </xf>
    <xf numFmtId="174" fontId="4" fillId="0" borderId="15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 wrapText="1"/>
    </xf>
    <xf numFmtId="174" fontId="3" fillId="0" borderId="10" xfId="0" applyNumberFormat="1" applyFont="1" applyFill="1" applyBorder="1" applyAlignment="1">
      <alignment wrapText="1"/>
    </xf>
    <xf numFmtId="174" fontId="3" fillId="0" borderId="15" xfId="0" applyNumberFormat="1" applyFont="1" applyFill="1" applyBorder="1" applyAlignment="1">
      <alignment/>
    </xf>
    <xf numFmtId="174" fontId="5" fillId="0" borderId="15" xfId="0" applyNumberFormat="1" applyFont="1" applyFill="1" applyBorder="1" applyAlignment="1">
      <alignment/>
    </xf>
    <xf numFmtId="174" fontId="5" fillId="0" borderId="16" xfId="0" applyNumberFormat="1" applyFont="1" applyFill="1" applyBorder="1" applyAlignment="1">
      <alignment/>
    </xf>
    <xf numFmtId="174" fontId="0" fillId="0" borderId="13" xfId="0" applyNumberFormat="1" applyFont="1" applyFill="1" applyBorder="1" applyAlignment="1">
      <alignment wrapText="1"/>
    </xf>
    <xf numFmtId="174" fontId="0" fillId="0" borderId="11" xfId="0" applyNumberFormat="1" applyFont="1" applyFill="1" applyBorder="1" applyAlignment="1">
      <alignment/>
    </xf>
    <xf numFmtId="174" fontId="4" fillId="0" borderId="17" xfId="0" applyNumberFormat="1" applyFont="1" applyFill="1" applyBorder="1" applyAlignment="1">
      <alignment wrapText="1"/>
    </xf>
    <xf numFmtId="174" fontId="4" fillId="0" borderId="12" xfId="0" applyNumberFormat="1" applyFont="1" applyFill="1" applyBorder="1" applyAlignment="1">
      <alignment wrapText="1"/>
    </xf>
    <xf numFmtId="174" fontId="4" fillId="0" borderId="18" xfId="0" applyNumberFormat="1" applyFont="1" applyFill="1" applyBorder="1" applyAlignment="1">
      <alignment/>
    </xf>
    <xf numFmtId="174" fontId="5" fillId="24" borderId="11" xfId="0" applyNumberFormat="1" applyFont="1" applyFill="1" applyBorder="1" applyAlignment="1">
      <alignment/>
    </xf>
    <xf numFmtId="0" fontId="5" fillId="24" borderId="16" xfId="0" applyFont="1" applyFill="1" applyBorder="1" applyAlignment="1">
      <alignment wrapText="1"/>
    </xf>
    <xf numFmtId="174" fontId="4" fillId="24" borderId="16" xfId="0" applyNumberFormat="1" applyFont="1" applyFill="1" applyBorder="1" applyAlignment="1">
      <alignment/>
    </xf>
    <xf numFmtId="173" fontId="4" fillId="24" borderId="16" xfId="0" applyNumberFormat="1" applyFont="1" applyFill="1" applyBorder="1" applyAlignment="1">
      <alignment/>
    </xf>
    <xf numFmtId="173" fontId="3" fillId="0" borderId="14" xfId="0" applyNumberFormat="1" applyFont="1" applyFill="1" applyBorder="1" applyAlignment="1">
      <alignment/>
    </xf>
    <xf numFmtId="173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74" fontId="3" fillId="0" borderId="14" xfId="0" applyNumberFormat="1" applyFont="1" applyFill="1" applyBorder="1" applyAlignment="1">
      <alignment/>
    </xf>
    <xf numFmtId="174" fontId="3" fillId="0" borderId="16" xfId="0" applyNumberFormat="1" applyFont="1" applyFill="1" applyBorder="1" applyAlignment="1">
      <alignment wrapText="1"/>
    </xf>
    <xf numFmtId="174" fontId="3" fillId="0" borderId="14" xfId="0" applyNumberFormat="1" applyFont="1" applyFill="1" applyBorder="1" applyAlignment="1">
      <alignment wrapText="1"/>
    </xf>
    <xf numFmtId="172" fontId="0" fillId="0" borderId="0" xfId="0" applyNumberFormat="1" applyFont="1" applyFill="1" applyBorder="1" applyAlignment="1">
      <alignment/>
    </xf>
    <xf numFmtId="175" fontId="12" fillId="0" borderId="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/>
    </xf>
    <xf numFmtId="173" fontId="3" fillId="0" borderId="10" xfId="0" applyNumberFormat="1" applyFont="1" applyFill="1" applyBorder="1" applyAlignment="1">
      <alignment horizontal="right"/>
    </xf>
    <xf numFmtId="174" fontId="13" fillId="0" borderId="12" xfId="0" applyNumberFormat="1" applyFont="1" applyFill="1" applyBorder="1" applyAlignment="1">
      <alignment/>
    </xf>
    <xf numFmtId="173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74" fontId="13" fillId="0" borderId="12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 vertical="center" wrapText="1"/>
    </xf>
    <xf numFmtId="173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74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73" fontId="3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74" fontId="13" fillId="0" borderId="10" xfId="0" applyNumberFormat="1" applyFont="1" applyFill="1" applyBorder="1" applyAlignment="1">
      <alignment/>
    </xf>
    <xf numFmtId="173" fontId="4" fillId="24" borderId="14" xfId="0" applyNumberFormat="1" applyFont="1" applyFill="1" applyBorder="1" applyAlignment="1">
      <alignment/>
    </xf>
    <xf numFmtId="173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73" fontId="3" fillId="0" borderId="22" xfId="0" applyNumberFormat="1" applyFont="1" applyFill="1" applyBorder="1" applyAlignment="1">
      <alignment/>
    </xf>
    <xf numFmtId="173" fontId="4" fillId="24" borderId="17" xfId="0" applyNumberFormat="1" applyFont="1" applyFill="1" applyBorder="1" applyAlignment="1">
      <alignment/>
    </xf>
    <xf numFmtId="173" fontId="4" fillId="24" borderId="23" xfId="0" applyNumberFormat="1" applyFont="1" applyFill="1" applyBorder="1" applyAlignment="1">
      <alignment/>
    </xf>
    <xf numFmtId="174" fontId="5" fillId="24" borderId="20" xfId="0" applyNumberFormat="1" applyFont="1" applyFill="1" applyBorder="1" applyAlignment="1">
      <alignment wrapText="1"/>
    </xf>
    <xf numFmtId="174" fontId="4" fillId="24" borderId="23" xfId="0" applyNumberFormat="1" applyFont="1" applyFill="1" applyBorder="1" applyAlignment="1">
      <alignment/>
    </xf>
    <xf numFmtId="174" fontId="4" fillId="24" borderId="19" xfId="0" applyNumberFormat="1" applyFont="1" applyFill="1" applyBorder="1" applyAlignment="1">
      <alignment horizontal="right"/>
    </xf>
    <xf numFmtId="174" fontId="3" fillId="0" borderId="21" xfId="0" applyNumberFormat="1" applyFont="1" applyFill="1" applyBorder="1" applyAlignment="1">
      <alignment wrapText="1"/>
    </xf>
    <xf numFmtId="174" fontId="3" fillId="0" borderId="24" xfId="0" applyNumberFormat="1" applyFont="1" applyFill="1" applyBorder="1" applyAlignment="1">
      <alignment horizontal="right"/>
    </xf>
    <xf numFmtId="174" fontId="3" fillId="0" borderId="25" xfId="0" applyNumberFormat="1" applyFont="1" applyFill="1" applyBorder="1" applyAlignment="1">
      <alignment/>
    </xf>
    <xf numFmtId="173" fontId="3" fillId="0" borderId="21" xfId="0" applyNumberFormat="1" applyFont="1" applyFill="1" applyBorder="1" applyAlignment="1">
      <alignment/>
    </xf>
    <xf numFmtId="173" fontId="3" fillId="0" borderId="26" xfId="0" applyNumberFormat="1" applyFont="1" applyFill="1" applyBorder="1" applyAlignment="1">
      <alignment/>
    </xf>
    <xf numFmtId="173" fontId="3" fillId="0" borderId="24" xfId="0" applyNumberFormat="1" applyFont="1" applyFill="1" applyBorder="1" applyAlignment="1">
      <alignment/>
    </xf>
    <xf numFmtId="173" fontId="34" fillId="25" borderId="10" xfId="0" applyNumberFormat="1" applyFont="1" applyFill="1" applyBorder="1" applyAlignment="1">
      <alignment/>
    </xf>
    <xf numFmtId="173" fontId="58" fillId="25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505"/>
          <c:w val="0.85825"/>
          <c:h val="0.6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фінансування'!$C$89:$C$93</c:f>
              <c:numCache>
                <c:ptCount val="4"/>
                <c:pt idx="0">
                  <c:v>50180.9</c:v>
                </c:pt>
                <c:pt idx="1">
                  <c:v>41400</c:v>
                </c:pt>
                <c:pt idx="2">
                  <c:v>2506.6</c:v>
                </c:pt>
                <c:pt idx="3">
                  <c:v>6274.300000000001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фінансування'!$D$89:$D$93</c:f>
              <c:numCache>
                <c:ptCount val="4"/>
                <c:pt idx="0">
                  <c:v>43449.69999999998</c:v>
                </c:pt>
                <c:pt idx="1">
                  <c:v>37335.299999999996</c:v>
                </c:pt>
                <c:pt idx="2">
                  <c:v>1296.7000000000005</c:v>
                </c:pt>
                <c:pt idx="3">
                  <c:v>4817.699999999986</c:v>
                </c:pt>
              </c:numCache>
            </c:numRef>
          </c:val>
          <c:shape val="box"/>
        </c:ser>
        <c:shape val="box"/>
        <c:axId val="32125563"/>
        <c:axId val="20694612"/>
      </c:bar3DChart>
      <c:catAx>
        <c:axId val="321255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694612"/>
        <c:crosses val="autoZero"/>
        <c:auto val="1"/>
        <c:lblOffset val="100"/>
        <c:tickLblSkip val="1"/>
        <c:noMultiLvlLbl val="0"/>
      </c:catAx>
      <c:valAx>
        <c:axId val="206946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12556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5775"/>
          <c:w val="0.84375"/>
          <c:h val="0.65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364933.0999999999</c:v>
                </c:pt>
                <c:pt idx="1">
                  <c:v>180427.5</c:v>
                </c:pt>
                <c:pt idx="2">
                  <c:v>275299.80000000005</c:v>
                </c:pt>
                <c:pt idx="3">
                  <c:v>45.2</c:v>
                </c:pt>
                <c:pt idx="4">
                  <c:v>22077.699999999997</c:v>
                </c:pt>
                <c:pt idx="5">
                  <c:v>61449.7</c:v>
                </c:pt>
                <c:pt idx="6">
                  <c:v>274.7</c:v>
                </c:pt>
                <c:pt idx="7">
                  <c:v>5785.999999999881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308636.9000000001</c:v>
                </c:pt>
                <c:pt idx="1">
                  <c:v>154161.70000000007</c:v>
                </c:pt>
                <c:pt idx="2">
                  <c:v>245662.59999999995</c:v>
                </c:pt>
                <c:pt idx="3">
                  <c:v>33.6</c:v>
                </c:pt>
                <c:pt idx="4">
                  <c:v>16940.1</c:v>
                </c:pt>
                <c:pt idx="5">
                  <c:v>42662.50000000002</c:v>
                </c:pt>
                <c:pt idx="6">
                  <c:v>225.79999999999995</c:v>
                </c:pt>
                <c:pt idx="7">
                  <c:v>3112.300000000115</c:v>
                </c:pt>
              </c:numCache>
            </c:numRef>
          </c:val>
          <c:shape val="box"/>
        </c:ser>
        <c:shape val="box"/>
        <c:axId val="52033781"/>
        <c:axId val="65650846"/>
      </c:bar3DChart>
      <c:catAx>
        <c:axId val="520337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5650846"/>
        <c:crosses val="autoZero"/>
        <c:auto val="1"/>
        <c:lblOffset val="100"/>
        <c:tickLblSkip val="1"/>
        <c:noMultiLvlLbl val="0"/>
      </c:catAx>
      <c:valAx>
        <c:axId val="656508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03378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57"/>
          <c:w val="0.92925"/>
          <c:h val="0.65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8"/>
                <c:pt idx="0">
                  <c:v>244842.30000000002</c:v>
                </c:pt>
                <c:pt idx="1">
                  <c:v>192364.5</c:v>
                </c:pt>
                <c:pt idx="2">
                  <c:v>190875.1</c:v>
                </c:pt>
                <c:pt idx="3">
                  <c:v>13319.4</c:v>
                </c:pt>
                <c:pt idx="4">
                  <c:v>3376.8</c:v>
                </c:pt>
                <c:pt idx="5">
                  <c:v>25623</c:v>
                </c:pt>
                <c:pt idx="6">
                  <c:v>1480.1999999999998</c:v>
                </c:pt>
                <c:pt idx="7">
                  <c:v>10167.800000000007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8"/>
                <c:pt idx="0">
                  <c:v>214293.89999999994</c:v>
                </c:pt>
                <c:pt idx="1">
                  <c:v>177959.89999999997</c:v>
                </c:pt>
                <c:pt idx="2">
                  <c:v>172340.60000000003</c:v>
                </c:pt>
                <c:pt idx="3">
                  <c:v>11645.8</c:v>
                </c:pt>
                <c:pt idx="4">
                  <c:v>3141.699999999999</c:v>
                </c:pt>
                <c:pt idx="5">
                  <c:v>17190.3</c:v>
                </c:pt>
                <c:pt idx="6">
                  <c:v>1254.7999999999995</c:v>
                </c:pt>
                <c:pt idx="7">
                  <c:v>8720.699999999903</c:v>
                </c:pt>
              </c:numCache>
            </c:numRef>
          </c:val>
          <c:shape val="box"/>
        </c:ser>
        <c:shape val="box"/>
        <c:axId val="53986703"/>
        <c:axId val="16118280"/>
      </c:bar3DChart>
      <c:catAx>
        <c:axId val="539867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6118280"/>
        <c:crosses val="autoZero"/>
        <c:auto val="1"/>
        <c:lblOffset val="100"/>
        <c:tickLblSkip val="1"/>
        <c:noMultiLvlLbl val="0"/>
      </c:catAx>
      <c:valAx>
        <c:axId val="161182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98670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5"/>
          <c:w val="0.87025"/>
          <c:h val="0.592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45320.99999999999</c:v>
                </c:pt>
                <c:pt idx="1">
                  <c:v>32176.7</c:v>
                </c:pt>
                <c:pt idx="2">
                  <c:v>2928.2</c:v>
                </c:pt>
                <c:pt idx="3">
                  <c:v>706.5</c:v>
                </c:pt>
                <c:pt idx="4">
                  <c:v>74.6</c:v>
                </c:pt>
                <c:pt idx="5">
                  <c:v>9434.99999999999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39484.19999999999</c:v>
                </c:pt>
                <c:pt idx="1">
                  <c:v>28889.7</c:v>
                </c:pt>
                <c:pt idx="2">
                  <c:v>1514.8000000000004</c:v>
                </c:pt>
                <c:pt idx="3">
                  <c:v>594.1</c:v>
                </c:pt>
                <c:pt idx="4">
                  <c:v>71.2</c:v>
                </c:pt>
                <c:pt idx="5">
                  <c:v>8414.399999999987</c:v>
                </c:pt>
              </c:numCache>
            </c:numRef>
          </c:val>
          <c:shape val="box"/>
        </c:ser>
        <c:shape val="box"/>
        <c:axId val="10846793"/>
        <c:axId val="30512274"/>
      </c:bar3DChart>
      <c:catAx>
        <c:axId val="108467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0512274"/>
        <c:crosses val="autoZero"/>
        <c:auto val="1"/>
        <c:lblOffset val="100"/>
        <c:tickLblSkip val="1"/>
        <c:noMultiLvlLbl val="0"/>
      </c:catAx>
      <c:valAx>
        <c:axId val="305122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84679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3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55"/>
          <c:w val="0.86375"/>
          <c:h val="0.63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фінансування'!$C$51:$C$56</c:f>
              <c:numCache>
                <c:ptCount val="6"/>
                <c:pt idx="0">
                  <c:v>15196.000000000002</c:v>
                </c:pt>
                <c:pt idx="1">
                  <c:v>9436.5</c:v>
                </c:pt>
                <c:pt idx="2">
                  <c:v>10.9</c:v>
                </c:pt>
                <c:pt idx="3">
                  <c:v>263.7</c:v>
                </c:pt>
                <c:pt idx="4">
                  <c:v>713.7</c:v>
                </c:pt>
                <c:pt idx="5">
                  <c:v>4771.200000000003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фінансування'!$D$51:$D$56</c:f>
              <c:numCache>
                <c:ptCount val="6"/>
                <c:pt idx="0">
                  <c:v>12727.900000000001</c:v>
                </c:pt>
                <c:pt idx="1">
                  <c:v>8367.600000000002</c:v>
                </c:pt>
                <c:pt idx="2">
                  <c:v>9.3</c:v>
                </c:pt>
                <c:pt idx="3">
                  <c:v>205.60000000000005</c:v>
                </c:pt>
                <c:pt idx="4">
                  <c:v>463.10000000000014</c:v>
                </c:pt>
                <c:pt idx="5">
                  <c:v>3682.299999999999</c:v>
                </c:pt>
              </c:numCache>
            </c:numRef>
          </c:val>
          <c:shape val="box"/>
        </c:ser>
        <c:shape val="box"/>
        <c:axId val="6175011"/>
        <c:axId val="55575100"/>
      </c:bar3DChart>
      <c:catAx>
        <c:axId val="61750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575100"/>
        <c:crosses val="autoZero"/>
        <c:auto val="1"/>
        <c:lblOffset val="100"/>
        <c:tickLblSkip val="2"/>
        <c:noMultiLvlLbl val="0"/>
      </c:catAx>
      <c:valAx>
        <c:axId val="555751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7501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5425"/>
          <c:w val="0.8775"/>
          <c:h val="0.65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фінансування'!$C$58:$C$63</c:f>
              <c:numCache>
                <c:ptCount val="6"/>
                <c:pt idx="0">
                  <c:v>5489.3</c:v>
                </c:pt>
                <c:pt idx="1">
                  <c:v>1567.3</c:v>
                </c:pt>
                <c:pt idx="2">
                  <c:v>299.9</c:v>
                </c:pt>
                <c:pt idx="3">
                  <c:v>464.8</c:v>
                </c:pt>
                <c:pt idx="4">
                  <c:v>2952.0000000000005</c:v>
                </c:pt>
                <c:pt idx="5">
                  <c:v>205.2999999999994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фінансування'!$D$58:$D$63</c:f>
              <c:numCache>
                <c:ptCount val="6"/>
                <c:pt idx="0">
                  <c:v>4958.2</c:v>
                </c:pt>
                <c:pt idx="1">
                  <c:v>1386.4999999999998</c:v>
                </c:pt>
                <c:pt idx="2">
                  <c:v>296.3</c:v>
                </c:pt>
                <c:pt idx="3">
                  <c:v>271.5000000000001</c:v>
                </c:pt>
                <c:pt idx="4">
                  <c:v>2871.6</c:v>
                </c:pt>
                <c:pt idx="5">
                  <c:v>132.2999999999999</c:v>
                </c:pt>
              </c:numCache>
            </c:numRef>
          </c:val>
          <c:shape val="box"/>
        </c:ser>
        <c:shape val="box"/>
        <c:axId val="30413853"/>
        <c:axId val="5289222"/>
      </c:bar3DChart>
      <c:catAx>
        <c:axId val="304138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89222"/>
        <c:crosses val="autoZero"/>
        <c:auto val="1"/>
        <c:lblOffset val="100"/>
        <c:tickLblSkip val="1"/>
        <c:noMultiLvlLbl val="0"/>
      </c:catAx>
      <c:valAx>
        <c:axId val="52892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41385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025"/>
          <c:y val="0.922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95"/>
          <c:w val="0.857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фінансування'!$C$94</c:f>
              <c:numCache>
                <c:ptCount val="1"/>
                <c:pt idx="0">
                  <c:v>57416.4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фінансування'!$D$94</c:f>
              <c:numCache>
                <c:ptCount val="1"/>
                <c:pt idx="0">
                  <c:v>51923.900000000016</c:v>
                </c:pt>
              </c:numCache>
            </c:numRef>
          </c:val>
          <c:shape val="box"/>
        </c:ser>
        <c:shape val="box"/>
        <c:axId val="47602999"/>
        <c:axId val="25773808"/>
      </c:bar3DChart>
      <c:catAx>
        <c:axId val="476029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5773808"/>
        <c:crosses val="autoZero"/>
        <c:auto val="1"/>
        <c:lblOffset val="100"/>
        <c:tickLblSkip val="1"/>
        <c:noMultiLvlLbl val="0"/>
      </c:catAx>
      <c:valAx>
        <c:axId val="257738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60299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7"/>
          <c:w val="0.851"/>
          <c:h val="0.58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фінансування'!$C$58,'аналіз фінансування'!$C$89,'аналіз фінансування'!$C$94)</c:f>
              <c:numCache>
                <c:ptCount val="7"/>
                <c:pt idx="0">
                  <c:v>364933.0999999999</c:v>
                </c:pt>
                <c:pt idx="1">
                  <c:v>244842.30000000002</c:v>
                </c:pt>
                <c:pt idx="2">
                  <c:v>45320.99999999999</c:v>
                </c:pt>
                <c:pt idx="3">
                  <c:v>15196.000000000002</c:v>
                </c:pt>
                <c:pt idx="4">
                  <c:v>5489.3</c:v>
                </c:pt>
                <c:pt idx="5">
                  <c:v>50180.9</c:v>
                </c:pt>
                <c:pt idx="6">
                  <c:v>57416.4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фінансування'!$D$58,'аналіз фінансування'!$D$89,'аналіз фінансування'!$D$94)</c:f>
              <c:numCache>
                <c:ptCount val="7"/>
                <c:pt idx="0">
                  <c:v>308636.9000000001</c:v>
                </c:pt>
                <c:pt idx="1">
                  <c:v>214293.89999999994</c:v>
                </c:pt>
                <c:pt idx="2">
                  <c:v>39484.19999999999</c:v>
                </c:pt>
                <c:pt idx="3">
                  <c:v>12727.900000000001</c:v>
                </c:pt>
                <c:pt idx="4">
                  <c:v>4958.2</c:v>
                </c:pt>
                <c:pt idx="5">
                  <c:v>43449.69999999998</c:v>
                </c:pt>
                <c:pt idx="6">
                  <c:v>51923.900000000016</c:v>
                </c:pt>
              </c:numCache>
            </c:numRef>
          </c:val>
          <c:shape val="box"/>
        </c:ser>
        <c:shape val="box"/>
        <c:axId val="30637681"/>
        <c:axId val="7303674"/>
      </c:bar3DChart>
      <c:catAx>
        <c:axId val="306376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7303674"/>
        <c:crosses val="autoZero"/>
        <c:auto val="1"/>
        <c:lblOffset val="100"/>
        <c:tickLblSkip val="1"/>
        <c:noMultiLvlLbl val="0"/>
      </c:catAx>
      <c:valAx>
        <c:axId val="73036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63768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505"/>
          <c:w val="0.84125"/>
          <c:h val="0.65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фінансування'!$A$150:$A$155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фінансування'!$C$150:$C$155</c:f>
              <c:numCache>
                <c:ptCount val="6"/>
                <c:pt idx="0">
                  <c:v>558433.5</c:v>
                </c:pt>
                <c:pt idx="1">
                  <c:v>100135.2</c:v>
                </c:pt>
                <c:pt idx="2">
                  <c:v>26078.3</c:v>
                </c:pt>
                <c:pt idx="3">
                  <c:v>14806.300000000001</c:v>
                </c:pt>
                <c:pt idx="4">
                  <c:v>13534.7</c:v>
                </c:pt>
                <c:pt idx="5">
                  <c:v>275163.6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фінансування'!$A$150:$A$155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фінансування'!$D$150:$D$155</c:f>
              <c:numCache>
                <c:ptCount val="6"/>
                <c:pt idx="0">
                  <c:v>500839.79999999993</c:v>
                </c:pt>
                <c:pt idx="1">
                  <c:v>67885.90000000001</c:v>
                </c:pt>
                <c:pt idx="2">
                  <c:v>20629.099999999995</c:v>
                </c:pt>
                <c:pt idx="3">
                  <c:v>11204.3</c:v>
                </c:pt>
                <c:pt idx="4">
                  <c:v>11759.699999999999</c:v>
                </c:pt>
                <c:pt idx="5">
                  <c:v>246231.0070000001</c:v>
                </c:pt>
              </c:numCache>
            </c:numRef>
          </c:val>
          <c:shape val="box"/>
        </c:ser>
        <c:shape val="box"/>
        <c:axId val="65733067"/>
        <c:axId val="54726692"/>
      </c:bar3DChart>
      <c:catAx>
        <c:axId val="657330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4726692"/>
        <c:crosses val="autoZero"/>
        <c:auto val="1"/>
        <c:lblOffset val="100"/>
        <c:tickLblSkip val="1"/>
        <c:noMultiLvlLbl val="0"/>
      </c:catAx>
      <c:valAx>
        <c:axId val="547266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73306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5"/>
  <sheetViews>
    <sheetView tabSelected="1" view="pageBreakPreview" zoomScale="80" zoomScaleNormal="75" zoomScaleSheetLayoutView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9" sqref="D9"/>
    </sheetView>
  </sheetViews>
  <sheetFormatPr defaultColWidth="9.00390625" defaultRowHeight="12.75"/>
  <cols>
    <col min="1" max="1" width="66.875" style="36" customWidth="1"/>
    <col min="2" max="2" width="19.00390625" style="36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6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35" t="s">
        <v>122</v>
      </c>
      <c r="B1" s="135"/>
      <c r="C1" s="135"/>
      <c r="D1" s="135"/>
      <c r="E1" s="135"/>
      <c r="F1" s="135"/>
      <c r="G1" s="135"/>
      <c r="H1" s="135"/>
      <c r="I1" s="135"/>
    </row>
    <row r="2" spans="1:8" ht="9.75" customHeight="1" thickBot="1">
      <c r="A2" s="27"/>
      <c r="B2" s="27"/>
      <c r="C2" s="10"/>
      <c r="D2" s="10"/>
      <c r="E2" s="10"/>
      <c r="F2" s="10"/>
      <c r="G2" s="10"/>
      <c r="H2" s="10"/>
    </row>
    <row r="3" spans="1:9" ht="29.25" customHeight="1">
      <c r="A3" s="139" t="s">
        <v>49</v>
      </c>
      <c r="B3" s="136" t="s">
        <v>116</v>
      </c>
      <c r="C3" s="136" t="s">
        <v>117</v>
      </c>
      <c r="D3" s="136" t="s">
        <v>28</v>
      </c>
      <c r="E3" s="136" t="s">
        <v>27</v>
      </c>
      <c r="F3" s="136" t="s">
        <v>118</v>
      </c>
      <c r="G3" s="136" t="s">
        <v>119</v>
      </c>
      <c r="H3" s="136" t="s">
        <v>120</v>
      </c>
      <c r="I3" s="136" t="s">
        <v>121</v>
      </c>
    </row>
    <row r="4" spans="1:9" ht="24.75" customHeight="1">
      <c r="A4" s="140"/>
      <c r="B4" s="137"/>
      <c r="C4" s="137"/>
      <c r="D4" s="137"/>
      <c r="E4" s="137"/>
      <c r="F4" s="137"/>
      <c r="G4" s="137"/>
      <c r="H4" s="137"/>
      <c r="I4" s="137"/>
    </row>
    <row r="5" spans="1:9" ht="39" customHeight="1" thickBot="1">
      <c r="A5" s="141"/>
      <c r="B5" s="138"/>
      <c r="C5" s="138"/>
      <c r="D5" s="138"/>
      <c r="E5" s="138"/>
      <c r="F5" s="138"/>
      <c r="G5" s="138"/>
      <c r="H5" s="138"/>
      <c r="I5" s="138"/>
    </row>
    <row r="6" spans="1:9" ht="18.75" thickBot="1">
      <c r="A6" s="28" t="s">
        <v>33</v>
      </c>
      <c r="B6" s="52">
        <f>30411.1-1435.3</f>
        <v>28975.8</v>
      </c>
      <c r="C6" s="53">
        <f>91233.3-4306</f>
        <v>86927.3</v>
      </c>
      <c r="D6" s="54">
        <f>3665.2+5419.3+785.5+220.1+4705.1+6727.5</f>
        <v>21522.7</v>
      </c>
      <c r="E6" s="3">
        <f>D6/D149*100</f>
        <v>43.93553391716169</v>
      </c>
      <c r="F6" s="3">
        <f>D6/B6*100</f>
        <v>74.27819076608758</v>
      </c>
      <c r="G6" s="3">
        <f aca="true" t="shared" si="0" ref="G6:G43">D6/C6*100</f>
        <v>24.75942540490732</v>
      </c>
      <c r="H6" s="3">
        <f>B6-D6</f>
        <v>7453.0999999999985</v>
      </c>
      <c r="I6" s="3">
        <f aca="true" t="shared" si="1" ref="I6:I43">C6-D6</f>
        <v>65404.600000000006</v>
      </c>
    </row>
    <row r="7" spans="1:9" s="44" customFormat="1" ht="18.75">
      <c r="A7" s="115" t="s">
        <v>102</v>
      </c>
      <c r="B7" s="108">
        <f>15035.6-1435.3</f>
        <v>13600.300000000001</v>
      </c>
      <c r="C7" s="105">
        <f>45106.9-4306</f>
        <v>40800.9</v>
      </c>
      <c r="D7" s="116">
        <f>5419.3+86.3+97.4+56.7+6727.5</f>
        <v>12387.2</v>
      </c>
      <c r="E7" s="106">
        <f>D7/D6*100</f>
        <v>57.554117280824435</v>
      </c>
      <c r="F7" s="106">
        <f>D7/B7*100</f>
        <v>91.08034381594523</v>
      </c>
      <c r="G7" s="106">
        <f>D7/C7*100</f>
        <v>30.36011460531508</v>
      </c>
      <c r="H7" s="106">
        <f>B7-D7</f>
        <v>1213.1000000000004</v>
      </c>
      <c r="I7" s="106">
        <f t="shared" si="1"/>
        <v>28413.7</v>
      </c>
    </row>
    <row r="8" spans="1:9" ht="18">
      <c r="A8" s="29" t="s">
        <v>3</v>
      </c>
      <c r="B8" s="49">
        <f>17562+4452.7</f>
        <v>22014.7</v>
      </c>
      <c r="C8" s="50">
        <v>56790.4</v>
      </c>
      <c r="D8" s="51">
        <f>3665.2+5419.3+4645.9+6727.5</f>
        <v>20457.9</v>
      </c>
      <c r="E8" s="1">
        <f>D8/D6*100</f>
        <v>95.0526653254471</v>
      </c>
      <c r="F8" s="1">
        <f>D8/B8*100</f>
        <v>92.92836150390421</v>
      </c>
      <c r="G8" s="1">
        <f t="shared" si="0"/>
        <v>36.02351805939032</v>
      </c>
      <c r="H8" s="1">
        <f>B8-D8</f>
        <v>1556.7999999999993</v>
      </c>
      <c r="I8" s="1">
        <f t="shared" si="1"/>
        <v>36332.5</v>
      </c>
    </row>
    <row r="9" spans="1:9" ht="18">
      <c r="A9" s="29" t="s">
        <v>2</v>
      </c>
      <c r="B9" s="49">
        <v>0</v>
      </c>
      <c r="C9" s="50">
        <v>2</v>
      </c>
      <c r="D9" s="51"/>
      <c r="E9" s="12">
        <f>D9/D6*100</f>
        <v>0</v>
      </c>
      <c r="F9" s="133" t="e">
        <f>D9/B9*100</f>
        <v>#DIV/0!</v>
      </c>
      <c r="G9" s="1">
        <f t="shared" si="0"/>
        <v>0</v>
      </c>
      <c r="H9" s="1">
        <f aca="true" t="shared" si="2" ref="H9:H43">B9-D9</f>
        <v>0</v>
      </c>
      <c r="I9" s="1">
        <f t="shared" si="1"/>
        <v>2</v>
      </c>
    </row>
    <row r="10" spans="1:9" ht="18">
      <c r="A10" s="29" t="s">
        <v>1</v>
      </c>
      <c r="B10" s="49">
        <v>1336.9</v>
      </c>
      <c r="C10" s="50">
        <v>4186.1</v>
      </c>
      <c r="D10" s="55">
        <f>345.3+106.4+54.5</f>
        <v>506.20000000000005</v>
      </c>
      <c r="E10" s="1">
        <f>D10/D6*100</f>
        <v>2.351935398439787</v>
      </c>
      <c r="F10" s="1">
        <f aca="true" t="shared" si="3" ref="F10:F41">D10/B10*100</f>
        <v>37.86371456354252</v>
      </c>
      <c r="G10" s="1">
        <f t="shared" si="0"/>
        <v>12.092401041542248</v>
      </c>
      <c r="H10" s="1">
        <f t="shared" si="2"/>
        <v>830.7</v>
      </c>
      <c r="I10" s="1">
        <f t="shared" si="1"/>
        <v>3679.9000000000005</v>
      </c>
    </row>
    <row r="11" spans="1:9" ht="18">
      <c r="A11" s="29" t="s">
        <v>0</v>
      </c>
      <c r="B11" s="49">
        <f>11392.8-1435.3-4452.7</f>
        <v>5504.8</v>
      </c>
      <c r="C11" s="50">
        <f>29821.3-4306</f>
        <v>25515.3</v>
      </c>
      <c r="D11" s="56">
        <f>435.2+111</f>
        <v>546.2</v>
      </c>
      <c r="E11" s="1">
        <f>D11/D6*100</f>
        <v>2.537785686740047</v>
      </c>
      <c r="F11" s="1">
        <f t="shared" si="3"/>
        <v>9.922249673012644</v>
      </c>
      <c r="G11" s="1">
        <f t="shared" si="0"/>
        <v>2.1406763784866336</v>
      </c>
      <c r="H11" s="1">
        <f t="shared" si="2"/>
        <v>4958.6</v>
      </c>
      <c r="I11" s="1">
        <f t="shared" si="1"/>
        <v>24969.1</v>
      </c>
    </row>
    <row r="12" spans="1:9" ht="18">
      <c r="A12" s="29" t="s">
        <v>15</v>
      </c>
      <c r="B12" s="49">
        <v>16.1</v>
      </c>
      <c r="C12" s="50">
        <v>40.6</v>
      </c>
      <c r="D12" s="51">
        <f>5</f>
        <v>5</v>
      </c>
      <c r="E12" s="1">
        <f>D12/D6*100</f>
        <v>0.023231286037532464</v>
      </c>
      <c r="F12" s="1">
        <f t="shared" si="3"/>
        <v>31.05590062111801</v>
      </c>
      <c r="G12" s="1">
        <f t="shared" si="0"/>
        <v>12.31527093596059</v>
      </c>
      <c r="H12" s="1">
        <f t="shared" si="2"/>
        <v>11.100000000000001</v>
      </c>
      <c r="I12" s="1">
        <f t="shared" si="1"/>
        <v>35.6</v>
      </c>
    </row>
    <row r="13" spans="1:9" ht="18.75" thickBot="1">
      <c r="A13" s="29" t="s">
        <v>34</v>
      </c>
      <c r="B13" s="50">
        <f>B6-B8-B9-B10-B11-B12</f>
        <v>103.29999999999873</v>
      </c>
      <c r="C13" s="50">
        <f>C6-C8-C9-C10-C11-C12</f>
        <v>392.9000000000036</v>
      </c>
      <c r="D13" s="50">
        <f>D6-D8-D9-D10-D11-D12</f>
        <v>7.3999999999991815</v>
      </c>
      <c r="E13" s="1">
        <f>D13/D6*100</f>
        <v>0.03438230333554424</v>
      </c>
      <c r="F13" s="1">
        <f t="shared" si="3"/>
        <v>7.1636011616643485</v>
      </c>
      <c r="G13" s="1">
        <f t="shared" si="0"/>
        <v>1.8834308984472163</v>
      </c>
      <c r="H13" s="1">
        <f t="shared" si="2"/>
        <v>95.89999999999955</v>
      </c>
      <c r="I13" s="1">
        <f t="shared" si="1"/>
        <v>385.50000000000443</v>
      </c>
    </row>
    <row r="14" spans="1:9" s="44" customFormat="1" ht="18.75" customHeight="1" hidden="1">
      <c r="A14" s="107" t="s">
        <v>81</v>
      </c>
      <c r="B14" s="105"/>
      <c r="C14" s="105"/>
      <c r="D14" s="105"/>
      <c r="E14" s="106"/>
      <c r="F14" s="106" t="e">
        <f>D14/B14*100</f>
        <v>#DIV/0!</v>
      </c>
      <c r="G14" s="106" t="e">
        <f>D14/C14*100</f>
        <v>#DIV/0!</v>
      </c>
      <c r="H14" s="106">
        <f>B14-D14</f>
        <v>0</v>
      </c>
      <c r="I14" s="106">
        <f>C14-D14</f>
        <v>0</v>
      </c>
    </row>
    <row r="15" spans="1:9" s="44" customFormat="1" ht="18.75" customHeight="1" hidden="1">
      <c r="A15" s="107" t="s">
        <v>78</v>
      </c>
      <c r="B15" s="105"/>
      <c r="C15" s="105"/>
      <c r="D15" s="105"/>
      <c r="E15" s="106"/>
      <c r="F15" s="106" t="e">
        <f>D15/B15*100</f>
        <v>#DIV/0!</v>
      </c>
      <c r="G15" s="106" t="e">
        <f>D15/C15*100</f>
        <v>#DIV/0!</v>
      </c>
      <c r="H15" s="106">
        <f>B15-D15</f>
        <v>0</v>
      </c>
      <c r="I15" s="106">
        <f>C15-D15</f>
        <v>0</v>
      </c>
    </row>
    <row r="16" spans="1:9" s="44" customFormat="1" ht="19.5" hidden="1" thickBot="1">
      <c r="A16" s="107" t="s">
        <v>79</v>
      </c>
      <c r="B16" s="105"/>
      <c r="C16" s="105"/>
      <c r="D16" s="105"/>
      <c r="E16" s="106"/>
      <c r="F16" s="106" t="e">
        <f>D16/B16*100</f>
        <v>#DIV/0!</v>
      </c>
      <c r="G16" s="106" t="e">
        <f>D16/C16*100</f>
        <v>#DIV/0!</v>
      </c>
      <c r="H16" s="106">
        <f>B16-D16</f>
        <v>0</v>
      </c>
      <c r="I16" s="106">
        <f>C16-D16</f>
        <v>0</v>
      </c>
    </row>
    <row r="17" spans="1:9" s="44" customFormat="1" ht="19.5" hidden="1" thickBot="1">
      <c r="A17" s="107" t="s">
        <v>80</v>
      </c>
      <c r="B17" s="105"/>
      <c r="C17" s="105"/>
      <c r="D17" s="105"/>
      <c r="E17" s="106"/>
      <c r="F17" s="106" t="e">
        <f>D17/B17*100</f>
        <v>#DIV/0!</v>
      </c>
      <c r="G17" s="106" t="e">
        <f>D17/C17*100</f>
        <v>#DIV/0!</v>
      </c>
      <c r="H17" s="106">
        <f>B17-D17</f>
        <v>0</v>
      </c>
      <c r="I17" s="106">
        <f>C17-D17</f>
        <v>0</v>
      </c>
    </row>
    <row r="18" spans="1:9" ht="18.75" thickBot="1">
      <c r="A18" s="28" t="s">
        <v>23</v>
      </c>
      <c r="B18" s="52">
        <f>20403.5-1816.9</f>
        <v>18586.6</v>
      </c>
      <c r="C18" s="53">
        <f>61210.6-5450.6</f>
        <v>55760</v>
      </c>
      <c r="D18" s="54">
        <f>5722.2+538+9070.5</f>
        <v>15330.7</v>
      </c>
      <c r="E18" s="3">
        <f>D18/D149*100</f>
        <v>31.29544573049993</v>
      </c>
      <c r="F18" s="3">
        <f>D18/B18*100</f>
        <v>82.48254118558532</v>
      </c>
      <c r="G18" s="3">
        <f t="shared" si="0"/>
        <v>27.494081779053086</v>
      </c>
      <c r="H18" s="3">
        <f>B18-D18</f>
        <v>3255.899999999998</v>
      </c>
      <c r="I18" s="3">
        <f t="shared" si="1"/>
        <v>40429.3</v>
      </c>
    </row>
    <row r="19" spans="1:9" s="44" customFormat="1" ht="18.75">
      <c r="A19" s="115" t="s">
        <v>103</v>
      </c>
      <c r="B19" s="108">
        <f>16030.4-1816.9</f>
        <v>14213.5</v>
      </c>
      <c r="C19" s="105">
        <f>48091.1-5450.6</f>
        <v>42640.5</v>
      </c>
      <c r="D19" s="116">
        <f>5722.2+537+5375.9</f>
        <v>11635.099999999999</v>
      </c>
      <c r="E19" s="106">
        <f>D19/D18*100</f>
        <v>75.89412094685825</v>
      </c>
      <c r="F19" s="106">
        <f t="shared" si="3"/>
        <v>81.85949977134413</v>
      </c>
      <c r="G19" s="106">
        <f t="shared" si="0"/>
        <v>27.286499923781378</v>
      </c>
      <c r="H19" s="106">
        <f t="shared" si="2"/>
        <v>2578.4000000000015</v>
      </c>
      <c r="I19" s="106">
        <f t="shared" si="1"/>
        <v>31005.4</v>
      </c>
    </row>
    <row r="20" spans="1:9" ht="18">
      <c r="A20" s="29" t="s">
        <v>5</v>
      </c>
      <c r="B20" s="49">
        <f>16937.2-1816.9</f>
        <v>15120.300000000001</v>
      </c>
      <c r="C20" s="50">
        <f>48963.2-5450.6</f>
        <v>43512.6</v>
      </c>
      <c r="D20" s="51">
        <f>5722.2+1+8655.9</f>
        <v>14379.099999999999</v>
      </c>
      <c r="E20" s="1">
        <f>D20/D18*100</f>
        <v>93.79284703242512</v>
      </c>
      <c r="F20" s="1">
        <f t="shared" si="3"/>
        <v>95.0979808601681</v>
      </c>
      <c r="G20" s="1">
        <f t="shared" si="0"/>
        <v>33.04583040314759</v>
      </c>
      <c r="H20" s="1">
        <f t="shared" si="2"/>
        <v>741.2000000000025</v>
      </c>
      <c r="I20" s="1">
        <f t="shared" si="1"/>
        <v>29133.5</v>
      </c>
    </row>
    <row r="21" spans="1:9" ht="18">
      <c r="A21" s="29" t="s">
        <v>2</v>
      </c>
      <c r="B21" s="49">
        <v>1173.8</v>
      </c>
      <c r="C21" s="50">
        <v>3450.6</v>
      </c>
      <c r="D21" s="51">
        <f>80.5+183.6</f>
        <v>264.1</v>
      </c>
      <c r="E21" s="1">
        <f>D21/D18*100</f>
        <v>1.7226871571422049</v>
      </c>
      <c r="F21" s="1">
        <f t="shared" si="3"/>
        <v>22.499574033055037</v>
      </c>
      <c r="G21" s="1">
        <f t="shared" si="0"/>
        <v>7.653741378311018</v>
      </c>
      <c r="H21" s="1">
        <f t="shared" si="2"/>
        <v>909.6999999999999</v>
      </c>
      <c r="I21" s="1">
        <f t="shared" si="1"/>
        <v>3186.5</v>
      </c>
    </row>
    <row r="22" spans="1:9" ht="18">
      <c r="A22" s="29" t="s">
        <v>1</v>
      </c>
      <c r="B22" s="49">
        <v>289.3</v>
      </c>
      <c r="C22" s="50">
        <v>874.5</v>
      </c>
      <c r="D22" s="51">
        <f>127.7+23.6</f>
        <v>151.3</v>
      </c>
      <c r="E22" s="1">
        <f>D22/D18*100</f>
        <v>0.986908621263217</v>
      </c>
      <c r="F22" s="1">
        <f t="shared" si="3"/>
        <v>52.298651918423786</v>
      </c>
      <c r="G22" s="1">
        <f t="shared" si="0"/>
        <v>17.301315037164095</v>
      </c>
      <c r="H22" s="1">
        <f t="shared" si="2"/>
        <v>138</v>
      </c>
      <c r="I22" s="1">
        <f t="shared" si="1"/>
        <v>723.2</v>
      </c>
    </row>
    <row r="23" spans="1:9" ht="18">
      <c r="A23" s="29" t="s">
        <v>0</v>
      </c>
      <c r="B23" s="49">
        <v>1508.6</v>
      </c>
      <c r="C23" s="50">
        <v>6334.3</v>
      </c>
      <c r="D23" s="51">
        <f>230.7+158.8</f>
        <v>389.5</v>
      </c>
      <c r="E23" s="1">
        <f>D23/D18*100</f>
        <v>2.540653720965122</v>
      </c>
      <c r="F23" s="1">
        <f t="shared" si="3"/>
        <v>25.818639798488668</v>
      </c>
      <c r="G23" s="1">
        <f t="shared" si="0"/>
        <v>6.149061459040462</v>
      </c>
      <c r="H23" s="1">
        <f t="shared" si="2"/>
        <v>1119.1</v>
      </c>
      <c r="I23" s="1">
        <f t="shared" si="1"/>
        <v>5944.8</v>
      </c>
    </row>
    <row r="24" spans="1:9" ht="18">
      <c r="A24" s="29" t="s">
        <v>15</v>
      </c>
      <c r="B24" s="49">
        <v>126</v>
      </c>
      <c r="C24" s="50">
        <v>363.5</v>
      </c>
      <c r="D24" s="51">
        <f>73.6+22.6</f>
        <v>96.19999999999999</v>
      </c>
      <c r="E24" s="1">
        <f>D24/D18*100</f>
        <v>0.627499070492541</v>
      </c>
      <c r="F24" s="1">
        <f t="shared" si="3"/>
        <v>76.34920634920634</v>
      </c>
      <c r="G24" s="1">
        <f t="shared" si="0"/>
        <v>26.46492434662998</v>
      </c>
      <c r="H24" s="1">
        <f t="shared" si="2"/>
        <v>29.80000000000001</v>
      </c>
      <c r="I24" s="1">
        <f t="shared" si="1"/>
        <v>267.3</v>
      </c>
    </row>
    <row r="25" spans="1:9" ht="18.75" thickBot="1">
      <c r="A25" s="29" t="s">
        <v>34</v>
      </c>
      <c r="B25" s="50">
        <f>B18-B20-B21-B22-B23-B24</f>
        <v>368.5999999999974</v>
      </c>
      <c r="C25" s="50">
        <f>C18-C20-C21-C22-C23-C24</f>
        <v>1224.500000000001</v>
      </c>
      <c r="D25" s="50">
        <f>D18-D20-D21-D22-D23-D24</f>
        <v>50.5000000000021</v>
      </c>
      <c r="E25" s="1">
        <f>D25/D18*100</f>
        <v>0.32940439771179464</v>
      </c>
      <c r="F25" s="1">
        <f t="shared" si="3"/>
        <v>13.700488334238322</v>
      </c>
      <c r="G25" s="1">
        <f t="shared" si="0"/>
        <v>4.124132298897678</v>
      </c>
      <c r="H25" s="1">
        <f t="shared" si="2"/>
        <v>318.0999999999953</v>
      </c>
      <c r="I25" s="1">
        <f t="shared" si="1"/>
        <v>1173.9999999999989</v>
      </c>
    </row>
    <row r="26" spans="1:9" ht="57" hidden="1" thickBot="1">
      <c r="A26" s="107" t="s">
        <v>89</v>
      </c>
      <c r="B26" s="50"/>
      <c r="C26" s="50"/>
      <c r="D26" s="50"/>
      <c r="E26" s="1"/>
      <c r="F26" s="1" t="e">
        <f t="shared" si="3"/>
        <v>#DIV/0!</v>
      </c>
      <c r="G26" s="1" t="e">
        <f t="shared" si="0"/>
        <v>#DIV/0!</v>
      </c>
      <c r="H26" s="1">
        <f t="shared" si="2"/>
        <v>0</v>
      </c>
      <c r="I26" s="1">
        <f t="shared" si="1"/>
        <v>0</v>
      </c>
    </row>
    <row r="27" spans="1:9" ht="36.75" customHeight="1" hidden="1">
      <c r="A27" s="107" t="s">
        <v>90</v>
      </c>
      <c r="B27" s="50"/>
      <c r="C27" s="50"/>
      <c r="D27" s="50"/>
      <c r="E27" s="1"/>
      <c r="F27" s="1" t="e">
        <f t="shared" si="3"/>
        <v>#DIV/0!</v>
      </c>
      <c r="G27" s="1" t="e">
        <f t="shared" si="0"/>
        <v>#DIV/0!</v>
      </c>
      <c r="H27" s="1">
        <f t="shared" si="2"/>
        <v>0</v>
      </c>
      <c r="I27" s="1">
        <f t="shared" si="1"/>
        <v>0</v>
      </c>
    </row>
    <row r="28" spans="1:9" ht="19.5" hidden="1" thickBot="1">
      <c r="A28" s="107" t="s">
        <v>91</v>
      </c>
      <c r="B28" s="50"/>
      <c r="C28" s="50"/>
      <c r="D28" s="50"/>
      <c r="E28" s="1"/>
      <c r="F28" s="1" t="e">
        <f t="shared" si="3"/>
        <v>#DIV/0!</v>
      </c>
      <c r="G28" s="1" t="e">
        <f t="shared" si="0"/>
        <v>#DIV/0!</v>
      </c>
      <c r="H28" s="1">
        <f t="shared" si="2"/>
        <v>0</v>
      </c>
      <c r="I28" s="1">
        <f t="shared" si="1"/>
        <v>0</v>
      </c>
    </row>
    <row r="29" spans="1:9" ht="39.75" customHeight="1" hidden="1">
      <c r="A29" s="107" t="s">
        <v>92</v>
      </c>
      <c r="B29" s="50"/>
      <c r="C29" s="50"/>
      <c r="D29" s="50"/>
      <c r="E29" s="1"/>
      <c r="F29" s="1" t="e">
        <f t="shared" si="3"/>
        <v>#DIV/0!</v>
      </c>
      <c r="G29" s="1" t="e">
        <f t="shared" si="0"/>
        <v>#DIV/0!</v>
      </c>
      <c r="H29" s="1">
        <f t="shared" si="2"/>
        <v>0</v>
      </c>
      <c r="I29" s="1">
        <f t="shared" si="1"/>
        <v>0</v>
      </c>
    </row>
    <row r="30" spans="1:9" ht="37.5" customHeight="1" hidden="1">
      <c r="A30" s="107" t="s">
        <v>93</v>
      </c>
      <c r="B30" s="50"/>
      <c r="C30" s="50"/>
      <c r="D30" s="50"/>
      <c r="E30" s="1"/>
      <c r="F30" s="1" t="e">
        <f>D30/B30*100</f>
        <v>#DIV/0!</v>
      </c>
      <c r="G30" s="1" t="e">
        <f t="shared" si="0"/>
        <v>#DIV/0!</v>
      </c>
      <c r="H30" s="1">
        <f t="shared" si="2"/>
        <v>0</v>
      </c>
      <c r="I30" s="1">
        <f t="shared" si="1"/>
        <v>0</v>
      </c>
    </row>
    <row r="31" spans="1:9" ht="36" customHeight="1" hidden="1">
      <c r="A31" s="107" t="s">
        <v>94</v>
      </c>
      <c r="B31" s="50"/>
      <c r="C31" s="50"/>
      <c r="D31" s="50"/>
      <c r="E31" s="1"/>
      <c r="F31" s="1" t="e">
        <f t="shared" si="3"/>
        <v>#DIV/0!</v>
      </c>
      <c r="G31" s="1" t="e">
        <f t="shared" si="0"/>
        <v>#DIV/0!</v>
      </c>
      <c r="H31" s="1">
        <f t="shared" si="2"/>
        <v>0</v>
      </c>
      <c r="I31" s="1">
        <f t="shared" si="1"/>
        <v>0</v>
      </c>
    </row>
    <row r="32" spans="1:9" ht="19.5" hidden="1" thickBot="1">
      <c r="A32" s="107" t="s">
        <v>95</v>
      </c>
      <c r="B32" s="50"/>
      <c r="C32" s="50"/>
      <c r="D32" s="50"/>
      <c r="E32" s="1"/>
      <c r="F32" s="1" t="e">
        <f t="shared" si="3"/>
        <v>#DIV/0!</v>
      </c>
      <c r="G32" s="1" t="e">
        <f t="shared" si="0"/>
        <v>#DIV/0!</v>
      </c>
      <c r="H32" s="1">
        <f t="shared" si="2"/>
        <v>0</v>
      </c>
      <c r="I32" s="1">
        <f t="shared" si="1"/>
        <v>0</v>
      </c>
    </row>
    <row r="33" spans="1:9" ht="18.75" thickBot="1">
      <c r="A33" s="28" t="s">
        <v>18</v>
      </c>
      <c r="B33" s="52">
        <v>3776.7</v>
      </c>
      <c r="C33" s="53">
        <v>11330.2</v>
      </c>
      <c r="D33" s="57">
        <f>1335.1+343.1+78.5+19.5+60.6+1286.4</f>
        <v>3123.2</v>
      </c>
      <c r="E33" s="3">
        <f>D33/D149*100</f>
        <v>6.375569028517769</v>
      </c>
      <c r="F33" s="3">
        <f>D33/B33*100</f>
        <v>82.69653401117377</v>
      </c>
      <c r="G33" s="3">
        <f t="shared" si="0"/>
        <v>27.565268044694708</v>
      </c>
      <c r="H33" s="3">
        <f t="shared" si="2"/>
        <v>653.5</v>
      </c>
      <c r="I33" s="3">
        <f t="shared" si="1"/>
        <v>8207</v>
      </c>
    </row>
    <row r="34" spans="1:9" ht="18">
      <c r="A34" s="29" t="s">
        <v>3</v>
      </c>
      <c r="B34" s="49">
        <v>2769.9</v>
      </c>
      <c r="C34" s="50">
        <v>8148.9</v>
      </c>
      <c r="D34" s="51">
        <f>1335.1+1268.2</f>
        <v>2603.3</v>
      </c>
      <c r="E34" s="1">
        <f>D34/D33*100</f>
        <v>83.35361168032787</v>
      </c>
      <c r="F34" s="1">
        <f t="shared" si="3"/>
        <v>93.9853424311347</v>
      </c>
      <c r="G34" s="1">
        <f t="shared" si="0"/>
        <v>31.946643105204387</v>
      </c>
      <c r="H34" s="1">
        <f t="shared" si="2"/>
        <v>166.5999999999999</v>
      </c>
      <c r="I34" s="1">
        <f t="shared" si="1"/>
        <v>5545.599999999999</v>
      </c>
    </row>
    <row r="35" spans="1:9" ht="18" hidden="1">
      <c r="A35" s="29" t="s">
        <v>1</v>
      </c>
      <c r="B35" s="49"/>
      <c r="C35" s="50"/>
      <c r="D35" s="51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1">
        <f t="shared" si="2"/>
        <v>0</v>
      </c>
      <c r="I35" s="1">
        <f t="shared" si="1"/>
        <v>0</v>
      </c>
    </row>
    <row r="36" spans="1:9" ht="18">
      <c r="A36" s="29" t="s">
        <v>0</v>
      </c>
      <c r="B36" s="49">
        <v>192.2</v>
      </c>
      <c r="C36" s="50">
        <v>734.3</v>
      </c>
      <c r="D36" s="51">
        <f>10.5</f>
        <v>10.5</v>
      </c>
      <c r="E36" s="1">
        <f>D36/D33*100</f>
        <v>0.33619364754098363</v>
      </c>
      <c r="F36" s="1">
        <f t="shared" si="3"/>
        <v>5.463059313215401</v>
      </c>
      <c r="G36" s="1">
        <f t="shared" si="0"/>
        <v>1.4299332697807436</v>
      </c>
      <c r="H36" s="1">
        <f t="shared" si="2"/>
        <v>181.7</v>
      </c>
      <c r="I36" s="1">
        <f t="shared" si="1"/>
        <v>723.8</v>
      </c>
    </row>
    <row r="37" spans="1:9" s="44" customFormat="1" ht="18.75">
      <c r="A37" s="23" t="s">
        <v>7</v>
      </c>
      <c r="B37" s="58">
        <v>58.9</v>
      </c>
      <c r="C37" s="59">
        <v>192</v>
      </c>
      <c r="D37" s="60">
        <f>11.2+19.5</f>
        <v>30.7</v>
      </c>
      <c r="E37" s="19">
        <f>D37/D33*100</f>
        <v>0.9829661885245903</v>
      </c>
      <c r="F37" s="19">
        <f t="shared" si="3"/>
        <v>52.12224108658744</v>
      </c>
      <c r="G37" s="19">
        <f t="shared" si="0"/>
        <v>15.989583333333332</v>
      </c>
      <c r="H37" s="19">
        <f t="shared" si="2"/>
        <v>28.2</v>
      </c>
      <c r="I37" s="19">
        <f t="shared" si="1"/>
        <v>161.3</v>
      </c>
    </row>
    <row r="38" spans="1:9" ht="18">
      <c r="A38" s="29" t="s">
        <v>15</v>
      </c>
      <c r="B38" s="49">
        <v>5.1</v>
      </c>
      <c r="C38" s="50">
        <v>15.3</v>
      </c>
      <c r="D38" s="50">
        <f>5.1</f>
        <v>5.1</v>
      </c>
      <c r="E38" s="1">
        <f>D38/D33*100</f>
        <v>0.1632940573770492</v>
      </c>
      <c r="F38" s="1">
        <f t="shared" si="3"/>
        <v>100</v>
      </c>
      <c r="G38" s="1">
        <f t="shared" si="0"/>
        <v>33.33333333333333</v>
      </c>
      <c r="H38" s="1">
        <f t="shared" si="2"/>
        <v>0</v>
      </c>
      <c r="I38" s="1">
        <f t="shared" si="1"/>
        <v>10.200000000000001</v>
      </c>
    </row>
    <row r="39" spans="1:9" ht="18.75" thickBot="1">
      <c r="A39" s="29" t="s">
        <v>34</v>
      </c>
      <c r="B39" s="49">
        <f>B33-B34-B36-B37-B35-B38</f>
        <v>750.5999999999997</v>
      </c>
      <c r="C39" s="49">
        <f>C33-C34-C36-C37-C35-C38</f>
        <v>2239.7000000000007</v>
      </c>
      <c r="D39" s="49">
        <f>D33-D34-D36-D37-D35-D38</f>
        <v>473.5999999999996</v>
      </c>
      <c r="E39" s="1">
        <f>D39/D33*100</f>
        <v>15.163934426229497</v>
      </c>
      <c r="F39" s="1">
        <f t="shared" si="3"/>
        <v>63.09618971489472</v>
      </c>
      <c r="G39" s="1">
        <f t="shared" si="0"/>
        <v>21.145689154797495</v>
      </c>
      <c r="H39" s="1">
        <f>B39-D39</f>
        <v>277.00000000000006</v>
      </c>
      <c r="I39" s="1">
        <f t="shared" si="1"/>
        <v>1766.100000000001</v>
      </c>
    </row>
    <row r="40" spans="1:9" ht="19.5" hidden="1" thickBot="1">
      <c r="A40" s="107" t="s">
        <v>86</v>
      </c>
      <c r="B40" s="108"/>
      <c r="C40" s="108"/>
      <c r="D40" s="108"/>
      <c r="E40" s="106"/>
      <c r="F40" s="106" t="e">
        <f t="shared" si="3"/>
        <v>#DIV/0!</v>
      </c>
      <c r="G40" s="106" t="e">
        <f t="shared" si="0"/>
        <v>#DIV/0!</v>
      </c>
      <c r="H40" s="106">
        <f>B40-D40</f>
        <v>0</v>
      </c>
      <c r="I40" s="106">
        <f t="shared" si="1"/>
        <v>0</v>
      </c>
    </row>
    <row r="41" spans="1:9" ht="19.5" hidden="1" thickBot="1">
      <c r="A41" s="107" t="s">
        <v>87</v>
      </c>
      <c r="B41" s="108"/>
      <c r="C41" s="108"/>
      <c r="D41" s="108"/>
      <c r="E41" s="106"/>
      <c r="F41" s="106" t="e">
        <f t="shared" si="3"/>
        <v>#DIV/0!</v>
      </c>
      <c r="G41" s="106" t="e">
        <f t="shared" si="0"/>
        <v>#DIV/0!</v>
      </c>
      <c r="H41" s="106">
        <f>B41-D41</f>
        <v>0</v>
      </c>
      <c r="I41" s="106">
        <f t="shared" si="1"/>
        <v>0</v>
      </c>
    </row>
    <row r="42" spans="1:9" ht="19.5" hidden="1" thickBot="1">
      <c r="A42" s="107" t="s">
        <v>88</v>
      </c>
      <c r="B42" s="108"/>
      <c r="C42" s="108"/>
      <c r="D42" s="108"/>
      <c r="E42" s="106"/>
      <c r="F42" s="106"/>
      <c r="G42" s="106" t="e">
        <f t="shared" si="0"/>
        <v>#DIV/0!</v>
      </c>
      <c r="H42" s="106">
        <f>B42-D42</f>
        <v>0</v>
      </c>
      <c r="I42" s="106">
        <f t="shared" si="1"/>
        <v>0</v>
      </c>
    </row>
    <row r="43" spans="1:9" ht="19.5" thickBot="1">
      <c r="A43" s="14" t="s">
        <v>17</v>
      </c>
      <c r="B43" s="109">
        <v>64</v>
      </c>
      <c r="C43" s="53">
        <v>192</v>
      </c>
      <c r="D43" s="54"/>
      <c r="E43" s="3">
        <f>D43/D149*100</f>
        <v>0</v>
      </c>
      <c r="F43" s="3">
        <f>D43/B43*100</f>
        <v>0</v>
      </c>
      <c r="G43" s="3">
        <f t="shared" si="0"/>
        <v>0</v>
      </c>
      <c r="H43" s="3">
        <f t="shared" si="2"/>
        <v>64</v>
      </c>
      <c r="I43" s="3">
        <f t="shared" si="1"/>
        <v>192</v>
      </c>
    </row>
    <row r="44" spans="1:9" ht="12" customHeight="1" thickBot="1">
      <c r="A44" s="31"/>
      <c r="B44" s="62"/>
      <c r="C44" s="63"/>
      <c r="D44" s="64"/>
      <c r="E44" s="7"/>
      <c r="F44" s="7"/>
      <c r="G44" s="7"/>
      <c r="H44" s="7"/>
      <c r="I44" s="7"/>
    </row>
    <row r="45" spans="1:9" ht="18.75" thickBot="1">
      <c r="A45" s="28" t="s">
        <v>54</v>
      </c>
      <c r="B45" s="52">
        <v>627.5</v>
      </c>
      <c r="C45" s="53">
        <v>1882.6</v>
      </c>
      <c r="D45" s="54">
        <f>224.1</f>
        <v>224.1</v>
      </c>
      <c r="E45" s="3">
        <f>D45/D149*100</f>
        <v>0.4574683079184273</v>
      </c>
      <c r="F45" s="3">
        <f>D45/B45*100</f>
        <v>35.713147410358566</v>
      </c>
      <c r="G45" s="3">
        <f aca="true" t="shared" si="4" ref="G45:G75">D45/C45*100</f>
        <v>11.903750132795071</v>
      </c>
      <c r="H45" s="3">
        <f>B45-D45</f>
        <v>403.4</v>
      </c>
      <c r="I45" s="3">
        <f aca="true" t="shared" si="5" ref="I45:I76">C45-D45</f>
        <v>1658.5</v>
      </c>
    </row>
    <row r="46" spans="1:9" ht="18">
      <c r="A46" s="29" t="s">
        <v>3</v>
      </c>
      <c r="B46" s="49">
        <v>539.5</v>
      </c>
      <c r="C46" s="50">
        <v>1605.2</v>
      </c>
      <c r="D46" s="51">
        <f>224.1</f>
        <v>224.1</v>
      </c>
      <c r="E46" s="1">
        <f>D46/D45*100</f>
        <v>100</v>
      </c>
      <c r="F46" s="1">
        <f aca="true" t="shared" si="6" ref="F46:F73">D46/B46*100</f>
        <v>41.53846153846153</v>
      </c>
      <c r="G46" s="1">
        <f t="shared" si="4"/>
        <v>13.960877149264888</v>
      </c>
      <c r="H46" s="1">
        <f aca="true" t="shared" si="7" ref="H46:H73">B46-D46</f>
        <v>315.4</v>
      </c>
      <c r="I46" s="1">
        <f t="shared" si="5"/>
        <v>1381.1000000000001</v>
      </c>
    </row>
    <row r="47" spans="1:9" ht="18">
      <c r="A47" s="29" t="s">
        <v>2</v>
      </c>
      <c r="B47" s="49">
        <v>0</v>
      </c>
      <c r="C47" s="50">
        <v>0.3</v>
      </c>
      <c r="D47" s="51"/>
      <c r="E47" s="1">
        <f>D47/D45*100</f>
        <v>0</v>
      </c>
      <c r="F47" s="114" t="e">
        <f t="shared" si="6"/>
        <v>#DIV/0!</v>
      </c>
      <c r="G47" s="1">
        <f t="shared" si="4"/>
        <v>0</v>
      </c>
      <c r="H47" s="1">
        <f t="shared" si="7"/>
        <v>0</v>
      </c>
      <c r="I47" s="1">
        <f t="shared" si="5"/>
        <v>0.3</v>
      </c>
    </row>
    <row r="48" spans="1:9" ht="18">
      <c r="A48" s="29" t="s">
        <v>1</v>
      </c>
      <c r="B48" s="49">
        <v>2</v>
      </c>
      <c r="C48" s="50">
        <v>15.2</v>
      </c>
      <c r="D48" s="51"/>
      <c r="E48" s="1">
        <f>D48/D45*100</f>
        <v>0</v>
      </c>
      <c r="F48" s="1">
        <f t="shared" si="6"/>
        <v>0</v>
      </c>
      <c r="G48" s="1">
        <f t="shared" si="4"/>
        <v>0</v>
      </c>
      <c r="H48" s="1">
        <f t="shared" si="7"/>
        <v>2</v>
      </c>
      <c r="I48" s="1">
        <f t="shared" si="5"/>
        <v>15.2</v>
      </c>
    </row>
    <row r="49" spans="1:9" ht="18">
      <c r="A49" s="29" t="s">
        <v>0</v>
      </c>
      <c r="B49" s="49">
        <v>73.3</v>
      </c>
      <c r="C49" s="50">
        <v>215.5</v>
      </c>
      <c r="D49" s="51"/>
      <c r="E49" s="1">
        <f>D49/D45*100</f>
        <v>0</v>
      </c>
      <c r="F49" s="1">
        <f t="shared" si="6"/>
        <v>0</v>
      </c>
      <c r="G49" s="1">
        <f t="shared" si="4"/>
        <v>0</v>
      </c>
      <c r="H49" s="1">
        <f t="shared" si="7"/>
        <v>73.3</v>
      </c>
      <c r="I49" s="1">
        <f t="shared" si="5"/>
        <v>215.5</v>
      </c>
    </row>
    <row r="50" spans="1:9" ht="18.75" thickBot="1">
      <c r="A50" s="29" t="s">
        <v>34</v>
      </c>
      <c r="B50" s="50">
        <f>B45-B46-B49-B48-B47</f>
        <v>12.700000000000003</v>
      </c>
      <c r="C50" s="50">
        <f>C45-C46-C49-C48-C47</f>
        <v>46.399999999999864</v>
      </c>
      <c r="D50" s="50">
        <f>D45-D46-D49-D48-D47</f>
        <v>0</v>
      </c>
      <c r="E50" s="1">
        <f>D50/D45*100</f>
        <v>0</v>
      </c>
      <c r="F50" s="1">
        <f t="shared" si="6"/>
        <v>0</v>
      </c>
      <c r="G50" s="1">
        <f t="shared" si="4"/>
        <v>0</v>
      </c>
      <c r="H50" s="1">
        <f t="shared" si="7"/>
        <v>12.700000000000003</v>
      </c>
      <c r="I50" s="1">
        <f t="shared" si="5"/>
        <v>46.399999999999864</v>
      </c>
    </row>
    <row r="51" spans="1:9" ht="18.75" thickBot="1">
      <c r="A51" s="28" t="s">
        <v>4</v>
      </c>
      <c r="B51" s="52">
        <v>1266.3</v>
      </c>
      <c r="C51" s="53">
        <v>3799</v>
      </c>
      <c r="D51" s="54">
        <f>8+294.9+37.1+10.7+29.2+464</f>
        <v>843.9</v>
      </c>
      <c r="E51" s="3">
        <f>D51/D149*100</f>
        <v>1.7227019413313738</v>
      </c>
      <c r="F51" s="3">
        <f>D51/B51*100</f>
        <v>66.64297559819948</v>
      </c>
      <c r="G51" s="3">
        <f t="shared" si="4"/>
        <v>22.213740458015266</v>
      </c>
      <c r="H51" s="3">
        <f>B51-D51</f>
        <v>422.4</v>
      </c>
      <c r="I51" s="3">
        <f t="shared" si="5"/>
        <v>2955.1</v>
      </c>
    </row>
    <row r="52" spans="1:9" ht="18">
      <c r="A52" s="29" t="s">
        <v>3</v>
      </c>
      <c r="B52" s="49">
        <v>898.1</v>
      </c>
      <c r="C52" s="50">
        <v>2694.2</v>
      </c>
      <c r="D52" s="51">
        <f>8+294.9+437.7</f>
        <v>740.5999999999999</v>
      </c>
      <c r="E52" s="1">
        <f>D52/D51*100</f>
        <v>87.75921317691669</v>
      </c>
      <c r="F52" s="1">
        <f t="shared" si="6"/>
        <v>82.46297739672642</v>
      </c>
      <c r="G52" s="1">
        <f t="shared" si="4"/>
        <v>27.4886793853463</v>
      </c>
      <c r="H52" s="1">
        <f t="shared" si="7"/>
        <v>157.5000000000001</v>
      </c>
      <c r="I52" s="1">
        <f t="shared" si="5"/>
        <v>1953.6</v>
      </c>
    </row>
    <row r="53" spans="1:9" ht="18" hidden="1">
      <c r="A53" s="29" t="s">
        <v>2</v>
      </c>
      <c r="B53" s="49"/>
      <c r="C53" s="50"/>
      <c r="D53" s="51"/>
      <c r="E53" s="1">
        <f>D53/D51*100</f>
        <v>0</v>
      </c>
      <c r="F53" s="1" t="e">
        <f t="shared" si="6"/>
        <v>#DIV/0!</v>
      </c>
      <c r="G53" s="1" t="e">
        <f t="shared" si="4"/>
        <v>#DIV/0!</v>
      </c>
      <c r="H53" s="1">
        <f t="shared" si="7"/>
        <v>0</v>
      </c>
      <c r="I53" s="1">
        <f t="shared" si="5"/>
        <v>0</v>
      </c>
    </row>
    <row r="54" spans="1:9" ht="18">
      <c r="A54" s="29" t="s">
        <v>1</v>
      </c>
      <c r="B54" s="49">
        <v>16.2</v>
      </c>
      <c r="C54" s="50">
        <v>48.5</v>
      </c>
      <c r="D54" s="51"/>
      <c r="E54" s="1">
        <f>D54/D51*100</f>
        <v>0</v>
      </c>
      <c r="F54" s="1">
        <f t="shared" si="6"/>
        <v>0</v>
      </c>
      <c r="G54" s="1">
        <f t="shared" si="4"/>
        <v>0</v>
      </c>
      <c r="H54" s="1">
        <f t="shared" si="7"/>
        <v>16.2</v>
      </c>
      <c r="I54" s="1">
        <f t="shared" si="5"/>
        <v>48.5</v>
      </c>
    </row>
    <row r="55" spans="1:9" ht="18">
      <c r="A55" s="29" t="s">
        <v>0</v>
      </c>
      <c r="B55" s="49">
        <v>36.5</v>
      </c>
      <c r="C55" s="50">
        <v>203.6</v>
      </c>
      <c r="D55" s="51">
        <f>10.7</f>
        <v>10.7</v>
      </c>
      <c r="E55" s="1">
        <f>D55/D51*100</f>
        <v>1.2679227396610973</v>
      </c>
      <c r="F55" s="1">
        <f t="shared" si="6"/>
        <v>29.31506849315068</v>
      </c>
      <c r="G55" s="1">
        <f t="shared" si="4"/>
        <v>5.255402750491159</v>
      </c>
      <c r="H55" s="1">
        <f t="shared" si="7"/>
        <v>25.8</v>
      </c>
      <c r="I55" s="1">
        <f t="shared" si="5"/>
        <v>192.9</v>
      </c>
    </row>
    <row r="56" spans="1:9" ht="18.75" thickBot="1">
      <c r="A56" s="29" t="s">
        <v>34</v>
      </c>
      <c r="B56" s="50">
        <f>B51-B52-B55-B54-B53</f>
        <v>315.49999999999994</v>
      </c>
      <c r="C56" s="50">
        <f>C51-C52-C55-C54-C53</f>
        <v>852.7000000000002</v>
      </c>
      <c r="D56" s="50">
        <f>D51-D52-D55-D54-D53</f>
        <v>92.60000000000007</v>
      </c>
      <c r="E56" s="1">
        <f>D56/D51*100</f>
        <v>10.972864083422214</v>
      </c>
      <c r="F56" s="1">
        <f t="shared" si="6"/>
        <v>29.350237717908108</v>
      </c>
      <c r="G56" s="1">
        <f t="shared" si="4"/>
        <v>10.859622375982179</v>
      </c>
      <c r="H56" s="1">
        <f t="shared" si="7"/>
        <v>222.89999999999986</v>
      </c>
      <c r="I56" s="1">
        <f>C56-D56</f>
        <v>760.1000000000001</v>
      </c>
    </row>
    <row r="57" spans="1:9" s="44" customFormat="1" ht="19.5" hidden="1" thickBot="1">
      <c r="A57" s="107" t="s">
        <v>85</v>
      </c>
      <c r="B57" s="105"/>
      <c r="C57" s="105"/>
      <c r="D57" s="105"/>
      <c r="E57" s="1"/>
      <c r="F57" s="106" t="e">
        <f t="shared" si="6"/>
        <v>#DIV/0!</v>
      </c>
      <c r="G57" s="106" t="e">
        <f t="shared" si="4"/>
        <v>#DIV/0!</v>
      </c>
      <c r="H57" s="106">
        <f t="shared" si="7"/>
        <v>0</v>
      </c>
      <c r="I57" s="106">
        <f>C57-D57</f>
        <v>0</v>
      </c>
    </row>
    <row r="58" spans="1:9" ht="18.75" thickBot="1">
      <c r="A58" s="28" t="s">
        <v>6</v>
      </c>
      <c r="B58" s="52">
        <v>457.4</v>
      </c>
      <c r="C58" s="53">
        <v>1372.3</v>
      </c>
      <c r="D58" s="54">
        <f>43.5+4.7+72.8</f>
        <v>121</v>
      </c>
      <c r="E58" s="3">
        <f>D58/D149*100</f>
        <v>0.24700430726519282</v>
      </c>
      <c r="F58" s="3">
        <f>D58/B58*100</f>
        <v>26.453869698294714</v>
      </c>
      <c r="G58" s="3">
        <f t="shared" si="4"/>
        <v>8.817313998396854</v>
      </c>
      <c r="H58" s="3">
        <f>B58-D58</f>
        <v>336.4</v>
      </c>
      <c r="I58" s="3">
        <f t="shared" si="5"/>
        <v>1251.3</v>
      </c>
    </row>
    <row r="59" spans="1:9" ht="18">
      <c r="A59" s="29" t="s">
        <v>3</v>
      </c>
      <c r="B59" s="49">
        <v>142.2</v>
      </c>
      <c r="C59" s="50">
        <v>424.5</v>
      </c>
      <c r="D59" s="51">
        <f>43.5+72.8</f>
        <v>116.3</v>
      </c>
      <c r="E59" s="1">
        <f>D59/D58*100</f>
        <v>96.11570247933884</v>
      </c>
      <c r="F59" s="1">
        <f t="shared" si="6"/>
        <v>81.78621659634318</v>
      </c>
      <c r="G59" s="1">
        <f t="shared" si="4"/>
        <v>27.39693757361602</v>
      </c>
      <c r="H59" s="1">
        <f t="shared" si="7"/>
        <v>25.89999999999999</v>
      </c>
      <c r="I59" s="1">
        <f t="shared" si="5"/>
        <v>308.2</v>
      </c>
    </row>
    <row r="60" spans="1:9" ht="18">
      <c r="A60" s="29" t="s">
        <v>1</v>
      </c>
      <c r="B60" s="49">
        <v>25</v>
      </c>
      <c r="C60" s="50">
        <v>75</v>
      </c>
      <c r="D60" s="51"/>
      <c r="E60" s="1">
        <f>D60/D58*100</f>
        <v>0</v>
      </c>
      <c r="F60" s="1">
        <f>D60/B60*100</f>
        <v>0</v>
      </c>
      <c r="G60" s="1">
        <f t="shared" si="4"/>
        <v>0</v>
      </c>
      <c r="H60" s="1">
        <f t="shared" si="7"/>
        <v>25</v>
      </c>
      <c r="I60" s="1">
        <f t="shared" si="5"/>
        <v>75</v>
      </c>
    </row>
    <row r="61" spans="1:9" ht="18">
      <c r="A61" s="29" t="s">
        <v>0</v>
      </c>
      <c r="B61" s="49">
        <v>11.2</v>
      </c>
      <c r="C61" s="50">
        <v>164.4</v>
      </c>
      <c r="D61" s="51">
        <f>4.7</f>
        <v>4.7</v>
      </c>
      <c r="E61" s="1">
        <f>D61/D58*100</f>
        <v>3.884297520661157</v>
      </c>
      <c r="F61" s="1">
        <f t="shared" si="6"/>
        <v>41.96428571428572</v>
      </c>
      <c r="G61" s="1">
        <f t="shared" si="4"/>
        <v>2.8588807785888077</v>
      </c>
      <c r="H61" s="1">
        <f t="shared" si="7"/>
        <v>6.499999999999999</v>
      </c>
      <c r="I61" s="1">
        <f t="shared" si="5"/>
        <v>159.70000000000002</v>
      </c>
    </row>
    <row r="62" spans="1:9" ht="18">
      <c r="A62" s="29" t="s">
        <v>15</v>
      </c>
      <c r="B62" s="49">
        <v>263.7</v>
      </c>
      <c r="C62" s="50">
        <v>669.5</v>
      </c>
      <c r="D62" s="51"/>
      <c r="E62" s="1">
        <f>D62/D58*100</f>
        <v>0</v>
      </c>
      <c r="F62" s="1">
        <f>D62/B62*100</f>
        <v>0</v>
      </c>
      <c r="G62" s="1">
        <f t="shared" si="4"/>
        <v>0</v>
      </c>
      <c r="H62" s="1">
        <f t="shared" si="7"/>
        <v>263.7</v>
      </c>
      <c r="I62" s="1">
        <f t="shared" si="5"/>
        <v>669.5</v>
      </c>
    </row>
    <row r="63" spans="1:9" ht="18.75" thickBot="1">
      <c r="A63" s="29" t="s">
        <v>34</v>
      </c>
      <c r="B63" s="50">
        <f>B58-B59-B61-B62-B60</f>
        <v>15.300000000000011</v>
      </c>
      <c r="C63" s="50">
        <f>C58-C59-C61-C62-C60</f>
        <v>38.89999999999998</v>
      </c>
      <c r="D63" s="50">
        <f>D58-D59-D61-D62-D60</f>
        <v>2.6645352591003757E-15</v>
      </c>
      <c r="E63" s="1">
        <f>D63/D58*100</f>
        <v>2.202095255454856E-15</v>
      </c>
      <c r="F63" s="1">
        <f t="shared" si="6"/>
        <v>1.7415263131374993E-14</v>
      </c>
      <c r="G63" s="1">
        <f t="shared" si="4"/>
        <v>6.849705036247756E-15</v>
      </c>
      <c r="H63" s="1">
        <f t="shared" si="7"/>
        <v>15.300000000000008</v>
      </c>
      <c r="I63" s="1">
        <f t="shared" si="5"/>
        <v>38.89999999999998</v>
      </c>
    </row>
    <row r="64" spans="1:9" s="44" customFormat="1" ht="19.5" hidden="1" thickBot="1">
      <c r="A64" s="107" t="s">
        <v>96</v>
      </c>
      <c r="B64" s="105"/>
      <c r="C64" s="105"/>
      <c r="D64" s="105"/>
      <c r="E64" s="106"/>
      <c r="F64" s="106" t="e">
        <f>D64/B64*100</f>
        <v>#DIV/0!</v>
      </c>
      <c r="G64" s="106" t="e">
        <f>D64/C64*100</f>
        <v>#DIV/0!</v>
      </c>
      <c r="H64" s="106">
        <f t="shared" si="7"/>
        <v>0</v>
      </c>
      <c r="I64" s="106">
        <f t="shared" si="5"/>
        <v>0</v>
      </c>
    </row>
    <row r="65" spans="1:9" s="44" customFormat="1" ht="19.5" hidden="1" thickBot="1">
      <c r="A65" s="107" t="s">
        <v>82</v>
      </c>
      <c r="B65" s="105"/>
      <c r="C65" s="105"/>
      <c r="D65" s="105"/>
      <c r="E65" s="106"/>
      <c r="F65" s="106" t="e">
        <f t="shared" si="6"/>
        <v>#DIV/0!</v>
      </c>
      <c r="G65" s="106" t="e">
        <f t="shared" si="4"/>
        <v>#DIV/0!</v>
      </c>
      <c r="H65" s="106">
        <f t="shared" si="7"/>
        <v>0</v>
      </c>
      <c r="I65" s="106">
        <f t="shared" si="5"/>
        <v>0</v>
      </c>
    </row>
    <row r="66" spans="1:9" s="44" customFormat="1" ht="19.5" hidden="1" thickBot="1">
      <c r="A66" s="107" t="s">
        <v>83</v>
      </c>
      <c r="B66" s="105"/>
      <c r="C66" s="105"/>
      <c r="D66" s="105"/>
      <c r="E66" s="106"/>
      <c r="F66" s="106" t="e">
        <f t="shared" si="6"/>
        <v>#DIV/0!</v>
      </c>
      <c r="G66" s="106" t="e">
        <f t="shared" si="4"/>
        <v>#DIV/0!</v>
      </c>
      <c r="H66" s="106">
        <f t="shared" si="7"/>
        <v>0</v>
      </c>
      <c r="I66" s="106">
        <f t="shared" si="5"/>
        <v>0</v>
      </c>
    </row>
    <row r="67" spans="1:9" s="44" customFormat="1" ht="19.5" hidden="1" thickBot="1">
      <c r="A67" s="107" t="s">
        <v>84</v>
      </c>
      <c r="B67" s="105"/>
      <c r="C67" s="105"/>
      <c r="D67" s="105"/>
      <c r="E67" s="106"/>
      <c r="F67" s="106" t="e">
        <f t="shared" si="6"/>
        <v>#DIV/0!</v>
      </c>
      <c r="G67" s="106" t="e">
        <f t="shared" si="4"/>
        <v>#DIV/0!</v>
      </c>
      <c r="H67" s="106">
        <f t="shared" si="7"/>
        <v>0</v>
      </c>
      <c r="I67" s="106">
        <f t="shared" si="5"/>
        <v>0</v>
      </c>
    </row>
    <row r="68" spans="1:9" ht="18.75" thickBot="1">
      <c r="A68" s="28" t="s">
        <v>24</v>
      </c>
      <c r="B68" s="53">
        <f>B69+B70</f>
        <v>30.9</v>
      </c>
      <c r="C68" s="53">
        <f>C69+C70</f>
        <v>92.6</v>
      </c>
      <c r="D68" s="54">
        <f>SUM(D69:D70)</f>
        <v>0</v>
      </c>
      <c r="E68" s="42">
        <f>D68/D149*100</f>
        <v>0</v>
      </c>
      <c r="F68" s="3">
        <f>D68/B68*100</f>
        <v>0</v>
      </c>
      <c r="G68" s="3">
        <f t="shared" si="4"/>
        <v>0</v>
      </c>
      <c r="H68" s="3">
        <f>B68-D68</f>
        <v>30.9</v>
      </c>
      <c r="I68" s="3">
        <f t="shared" si="5"/>
        <v>92.6</v>
      </c>
    </row>
    <row r="69" spans="1:9" ht="18" hidden="1">
      <c r="A69" s="29" t="s">
        <v>8</v>
      </c>
      <c r="B69" s="49">
        <v>30.9</v>
      </c>
      <c r="C69" s="50">
        <v>92.6</v>
      </c>
      <c r="D69" s="51"/>
      <c r="E69" s="1" t="e">
        <f>D69/D68*100</f>
        <v>#DIV/0!</v>
      </c>
      <c r="F69" s="1">
        <f t="shared" si="6"/>
        <v>0</v>
      </c>
      <c r="G69" s="1">
        <f t="shared" si="4"/>
        <v>0</v>
      </c>
      <c r="H69" s="1">
        <f t="shared" si="7"/>
        <v>30.9</v>
      </c>
      <c r="I69" s="1">
        <f t="shared" si="5"/>
        <v>92.6</v>
      </c>
    </row>
    <row r="70" spans="1:9" ht="18.75" hidden="1" thickBot="1">
      <c r="A70" s="29" t="s">
        <v>9</v>
      </c>
      <c r="B70" s="49"/>
      <c r="C70" s="50"/>
      <c r="D70" s="51"/>
      <c r="E70" s="1" t="e">
        <f>D70/D69*100</f>
        <v>#DIV/0!</v>
      </c>
      <c r="F70" s="1" t="e">
        <f t="shared" si="6"/>
        <v>#DIV/0!</v>
      </c>
      <c r="G70" s="1" t="e">
        <f t="shared" si="4"/>
        <v>#DIV/0!</v>
      </c>
      <c r="H70" s="1">
        <f t="shared" si="7"/>
        <v>0</v>
      </c>
      <c r="I70" s="1">
        <f t="shared" si="5"/>
        <v>0</v>
      </c>
    </row>
    <row r="71" spans="1:9" ht="38.25" hidden="1" thickBot="1">
      <c r="A71" s="14" t="s">
        <v>50</v>
      </c>
      <c r="B71" s="61"/>
      <c r="C71" s="53">
        <f>C72+C73+C74+C75</f>
        <v>0</v>
      </c>
      <c r="D71" s="53">
        <f>D72+D73+D74+D75</f>
        <v>0</v>
      </c>
      <c r="E71" s="3">
        <f>D71/D149*100</f>
        <v>0</v>
      </c>
      <c r="F71" s="3" t="e">
        <f>D71/B71*100</f>
        <v>#DIV/0!</v>
      </c>
      <c r="G71" s="3" t="e">
        <f t="shared" si="4"/>
        <v>#DIV/0!</v>
      </c>
      <c r="H71" s="3">
        <f>B71-D71</f>
        <v>0</v>
      </c>
      <c r="I71" s="3">
        <f t="shared" si="5"/>
        <v>0</v>
      </c>
    </row>
    <row r="72" spans="1:9" ht="19.5" hidden="1" thickBot="1">
      <c r="A72" s="23" t="s">
        <v>56</v>
      </c>
      <c r="B72" s="58"/>
      <c r="C72" s="65"/>
      <c r="D72" s="56"/>
      <c r="E72" s="37" t="e">
        <f>D72/D71*100</f>
        <v>#DIV/0!</v>
      </c>
      <c r="F72" s="1" t="e">
        <f t="shared" si="6"/>
        <v>#DIV/0!</v>
      </c>
      <c r="G72" s="1" t="e">
        <f t="shared" si="4"/>
        <v>#DIV/0!</v>
      </c>
      <c r="H72" s="1">
        <f t="shared" si="7"/>
        <v>0</v>
      </c>
      <c r="I72" s="1">
        <f t="shared" si="5"/>
        <v>0</v>
      </c>
    </row>
    <row r="73" spans="1:9" ht="19.5" hidden="1" thickBot="1">
      <c r="A73" s="23" t="s">
        <v>57</v>
      </c>
      <c r="B73" s="58"/>
      <c r="C73" s="65"/>
      <c r="D73" s="56"/>
      <c r="E73" s="37" t="e">
        <f>D73/D71*100</f>
        <v>#DIV/0!</v>
      </c>
      <c r="F73" s="1" t="e">
        <f t="shared" si="6"/>
        <v>#DIV/0!</v>
      </c>
      <c r="G73" s="1" t="e">
        <f t="shared" si="4"/>
        <v>#DIV/0!</v>
      </c>
      <c r="H73" s="1">
        <f t="shared" si="7"/>
        <v>0</v>
      </c>
      <c r="I73" s="1">
        <f t="shared" si="5"/>
        <v>0</v>
      </c>
    </row>
    <row r="74" spans="1:9" ht="19.5" hidden="1" thickBot="1">
      <c r="A74" s="30" t="s">
        <v>41</v>
      </c>
      <c r="B74" s="66"/>
      <c r="C74" s="67"/>
      <c r="D74" s="68"/>
      <c r="E74" s="37" t="e">
        <f>D74/D71*100</f>
        <v>#DIV/0!</v>
      </c>
      <c r="F74" s="37"/>
      <c r="G74" s="1" t="e">
        <f t="shared" si="4"/>
        <v>#DIV/0!</v>
      </c>
      <c r="H74" s="1"/>
      <c r="I74" s="1">
        <f t="shared" si="5"/>
        <v>0</v>
      </c>
    </row>
    <row r="75" spans="1:9" ht="19.5" hidden="1" thickBot="1">
      <c r="A75" s="30" t="s">
        <v>51</v>
      </c>
      <c r="B75" s="66"/>
      <c r="C75" s="67"/>
      <c r="D75" s="68"/>
      <c r="E75" s="37" t="e">
        <f>D75/D71*100</f>
        <v>#DIV/0!</v>
      </c>
      <c r="F75" s="37"/>
      <c r="G75" s="1" t="e">
        <f t="shared" si="4"/>
        <v>#DIV/0!</v>
      </c>
      <c r="H75" s="1"/>
      <c r="I75" s="1">
        <f t="shared" si="5"/>
        <v>0</v>
      </c>
    </row>
    <row r="76" spans="1:9" s="44" customFormat="1" ht="19.5" thickBot="1">
      <c r="A76" s="31" t="s">
        <v>14</v>
      </c>
      <c r="B76" s="62">
        <v>40.8</v>
      </c>
      <c r="C76" s="69">
        <v>122.5</v>
      </c>
      <c r="D76" s="70"/>
      <c r="E76" s="48"/>
      <c r="F76" s="48"/>
      <c r="G76" s="48"/>
      <c r="H76" s="48">
        <f>B76-D76</f>
        <v>40.8</v>
      </c>
      <c r="I76" s="48">
        <f t="shared" si="5"/>
        <v>122.5</v>
      </c>
    </row>
    <row r="77" spans="1:9" ht="8.25" customHeight="1" thickBot="1">
      <c r="A77" s="23"/>
      <c r="B77" s="58"/>
      <c r="C77" s="67"/>
      <c r="D77" s="68"/>
      <c r="E77" s="6"/>
      <c r="F77" s="6"/>
      <c r="G77" s="6"/>
      <c r="H77" s="6"/>
      <c r="I77" s="13"/>
    </row>
    <row r="78" spans="1:9" ht="18.75" customHeight="1" hidden="1" thickBot="1">
      <c r="A78" s="14" t="s">
        <v>76</v>
      </c>
      <c r="B78" s="61"/>
      <c r="C78" s="53">
        <f>C79+C80</f>
        <v>0</v>
      </c>
      <c r="D78" s="53">
        <f>D79+D80</f>
        <v>0</v>
      </c>
      <c r="E78" s="3">
        <f>D78/D149*100</f>
        <v>0</v>
      </c>
      <c r="F78" s="3" t="e">
        <f>D78/B78*100</f>
        <v>#DIV/0!</v>
      </c>
      <c r="G78" s="3" t="e">
        <f aca="true" t="shared" si="8" ref="G78:G92">D78/C78*100</f>
        <v>#DIV/0!</v>
      </c>
      <c r="H78" s="3">
        <f>B78-D78</f>
        <v>0</v>
      </c>
      <c r="I78" s="3">
        <f aca="true" t="shared" si="9" ref="I78:I92">C78-D78</f>
        <v>0</v>
      </c>
    </row>
    <row r="79" spans="1:9" s="8" customFormat="1" ht="18.75" hidden="1" thickBot="1">
      <c r="A79" s="9" t="s">
        <v>75</v>
      </c>
      <c r="B79" s="71"/>
      <c r="C79" s="50">
        <f>50-50</f>
        <v>0</v>
      </c>
      <c r="D79" s="51"/>
      <c r="E79" s="104"/>
      <c r="F79" s="1" t="e">
        <f>D79/B79*100</f>
        <v>#DIV/0!</v>
      </c>
      <c r="G79" s="1" t="e">
        <f t="shared" si="8"/>
        <v>#DIV/0!</v>
      </c>
      <c r="H79" s="1">
        <f>B79-D79</f>
        <v>0</v>
      </c>
      <c r="I79" s="1">
        <f t="shared" si="9"/>
        <v>0</v>
      </c>
    </row>
    <row r="80" spans="1:9" s="8" customFormat="1" ht="31.5" hidden="1" thickBot="1">
      <c r="A80" s="9" t="s">
        <v>68</v>
      </c>
      <c r="B80" s="71"/>
      <c r="C80" s="50"/>
      <c r="D80" s="51"/>
      <c r="E80" s="104"/>
      <c r="F80" s="1" t="e">
        <f>D80/B80*100</f>
        <v>#DIV/0!</v>
      </c>
      <c r="G80" s="1" t="e">
        <f t="shared" si="8"/>
        <v>#DIV/0!</v>
      </c>
      <c r="H80" s="1">
        <f>B80-D80</f>
        <v>0</v>
      </c>
      <c r="I80" s="1">
        <f t="shared" si="9"/>
        <v>0</v>
      </c>
    </row>
    <row r="81" spans="1:9" s="8" customFormat="1" ht="16.5" customHeight="1" hidden="1">
      <c r="A81" s="9" t="s">
        <v>40</v>
      </c>
      <c r="B81" s="71"/>
      <c r="C81" s="50"/>
      <c r="D81" s="51"/>
      <c r="E81" s="1" t="e">
        <f>D81/D78*100</f>
        <v>#DIV/0!</v>
      </c>
      <c r="F81" s="1"/>
      <c r="G81" s="1" t="e">
        <f t="shared" si="8"/>
        <v>#DIV/0!</v>
      </c>
      <c r="H81" s="1"/>
      <c r="I81" s="1">
        <f t="shared" si="9"/>
        <v>0</v>
      </c>
    </row>
    <row r="82" spans="1:9" s="8" customFormat="1" ht="33" customHeight="1" hidden="1" thickBot="1">
      <c r="A82" s="9" t="s">
        <v>47</v>
      </c>
      <c r="B82" s="71"/>
      <c r="C82" s="50"/>
      <c r="D82" s="50"/>
      <c r="E82" s="1" t="e">
        <f>D82/D78*100</f>
        <v>#DIV/0!</v>
      </c>
      <c r="F82" s="1"/>
      <c r="G82" s="1" t="e">
        <f t="shared" si="8"/>
        <v>#DIV/0!</v>
      </c>
      <c r="H82" s="1"/>
      <c r="I82" s="1">
        <f t="shared" si="9"/>
        <v>0</v>
      </c>
    </row>
    <row r="83" spans="1:9" ht="35.25" customHeight="1" hidden="1" thickBot="1">
      <c r="A83" s="14" t="s">
        <v>42</v>
      </c>
      <c r="B83" s="61"/>
      <c r="C83" s="53">
        <f>C84+C85</f>
        <v>0</v>
      </c>
      <c r="D83" s="53">
        <f>D84+D85</f>
        <v>0</v>
      </c>
      <c r="E83" s="3">
        <f>D83/D149*100</f>
        <v>0</v>
      </c>
      <c r="F83" s="3"/>
      <c r="G83" s="3" t="e">
        <f t="shared" si="8"/>
        <v>#DIV/0!</v>
      </c>
      <c r="H83" s="3"/>
      <c r="I83" s="3">
        <f t="shared" si="9"/>
        <v>0</v>
      </c>
    </row>
    <row r="84" spans="1:9" ht="16.5" customHeight="1" hidden="1">
      <c r="A84" s="29" t="s">
        <v>29</v>
      </c>
      <c r="B84" s="49"/>
      <c r="C84" s="67"/>
      <c r="D84" s="67"/>
      <c r="E84" s="6" t="e">
        <f>D84/D83*100</f>
        <v>#DIV/0!</v>
      </c>
      <c r="F84" s="6"/>
      <c r="G84" s="6" t="e">
        <f t="shared" si="8"/>
        <v>#DIV/0!</v>
      </c>
      <c r="H84" s="6"/>
      <c r="I84" s="1">
        <f t="shared" si="9"/>
        <v>0</v>
      </c>
    </row>
    <row r="85" spans="1:9" ht="16.5" customHeight="1" hidden="1" thickBot="1">
      <c r="A85" s="29" t="s">
        <v>30</v>
      </c>
      <c r="B85" s="49"/>
      <c r="C85" s="67"/>
      <c r="D85" s="67"/>
      <c r="E85" s="6" t="e">
        <f>D85/D83*100</f>
        <v>#DIV/0!</v>
      </c>
      <c r="F85" s="6"/>
      <c r="G85" s="6" t="e">
        <f t="shared" si="8"/>
        <v>#DIV/0!</v>
      </c>
      <c r="H85" s="6"/>
      <c r="I85" s="1">
        <f t="shared" si="9"/>
        <v>0</v>
      </c>
    </row>
    <row r="86" spans="1:9" ht="34.5" customHeight="1" hidden="1" thickBot="1">
      <c r="A86" s="14" t="s">
        <v>43</v>
      </c>
      <c r="B86" s="61"/>
      <c r="C86" s="53">
        <f>SUM(C87:C88)</f>
        <v>0</v>
      </c>
      <c r="D86" s="53">
        <f>SUM(D87:D88)</f>
        <v>0</v>
      </c>
      <c r="E86" s="3">
        <f>D86/D149*100</f>
        <v>0</v>
      </c>
      <c r="F86" s="3"/>
      <c r="G86" s="3" t="e">
        <f t="shared" si="8"/>
        <v>#DIV/0!</v>
      </c>
      <c r="H86" s="3"/>
      <c r="I86" s="3">
        <f t="shared" si="9"/>
        <v>0</v>
      </c>
    </row>
    <row r="87" spans="1:9" ht="17.25" customHeight="1" hidden="1">
      <c r="A87" s="29" t="s">
        <v>29</v>
      </c>
      <c r="B87" s="49"/>
      <c r="C87" s="50"/>
      <c r="D87" s="51"/>
      <c r="E87" s="1" t="e">
        <f>D87/D86*100</f>
        <v>#DIV/0!</v>
      </c>
      <c r="F87" s="1"/>
      <c r="G87" s="1" t="e">
        <f t="shared" si="8"/>
        <v>#DIV/0!</v>
      </c>
      <c r="H87" s="1"/>
      <c r="I87" s="1">
        <f t="shared" si="9"/>
        <v>0</v>
      </c>
    </row>
    <row r="88" spans="1:9" ht="17.25" customHeight="1" hidden="1" thickBot="1">
      <c r="A88" s="29" t="s">
        <v>30</v>
      </c>
      <c r="B88" s="49"/>
      <c r="C88" s="50"/>
      <c r="D88" s="51"/>
      <c r="E88" s="1" t="e">
        <f>D88/D86*100</f>
        <v>#DIV/0!</v>
      </c>
      <c r="F88" s="1"/>
      <c r="G88" s="1" t="e">
        <f t="shared" si="8"/>
        <v>#DIV/0!</v>
      </c>
      <c r="H88" s="1"/>
      <c r="I88" s="1">
        <f t="shared" si="9"/>
        <v>0</v>
      </c>
    </row>
    <row r="89" spans="1:9" ht="19.5" thickBot="1">
      <c r="A89" s="14" t="s">
        <v>10</v>
      </c>
      <c r="B89" s="61">
        <v>4181.7</v>
      </c>
      <c r="C89" s="53">
        <v>12545.2</v>
      </c>
      <c r="D89" s="54">
        <f>504.1+603.6+0.4+13.4+0.4+2.2+9.9+1.1+305.4</f>
        <v>1440.5000000000005</v>
      </c>
      <c r="E89" s="3">
        <f>D89/D149*100</f>
        <v>2.940576071202565</v>
      </c>
      <c r="F89" s="3">
        <f aca="true" t="shared" si="10" ref="F89:F95">D89/B89*100</f>
        <v>34.4477126527489</v>
      </c>
      <c r="G89" s="3">
        <f t="shared" si="8"/>
        <v>11.482479354653575</v>
      </c>
      <c r="H89" s="3">
        <f aca="true" t="shared" si="11" ref="H89:H95">B89-D89</f>
        <v>2741.1999999999994</v>
      </c>
      <c r="I89" s="3">
        <f t="shared" si="9"/>
        <v>11104.7</v>
      </c>
    </row>
    <row r="90" spans="1:9" ht="18">
      <c r="A90" s="29" t="s">
        <v>3</v>
      </c>
      <c r="B90" s="49">
        <v>3551.3</v>
      </c>
      <c r="C90" s="50">
        <v>10620.7</v>
      </c>
      <c r="D90" s="51">
        <f>504.1+600.9+12.5+0.1+294.5</f>
        <v>1412.1</v>
      </c>
      <c r="E90" s="1">
        <f>D90/D89*100</f>
        <v>98.02846233946542</v>
      </c>
      <c r="F90" s="1">
        <f t="shared" si="10"/>
        <v>39.762903725396335</v>
      </c>
      <c r="G90" s="1">
        <f t="shared" si="8"/>
        <v>13.295733802856683</v>
      </c>
      <c r="H90" s="1">
        <f t="shared" si="11"/>
        <v>2139.2000000000003</v>
      </c>
      <c r="I90" s="1">
        <f t="shared" si="9"/>
        <v>9208.6</v>
      </c>
    </row>
    <row r="91" spans="1:9" ht="18">
      <c r="A91" s="29" t="s">
        <v>32</v>
      </c>
      <c r="B91" s="49">
        <v>256.8</v>
      </c>
      <c r="C91" s="50">
        <v>802.4</v>
      </c>
      <c r="D91" s="51"/>
      <c r="E91" s="1">
        <f>D91/D89*100</f>
        <v>0</v>
      </c>
      <c r="F91" s="1">
        <f t="shared" si="10"/>
        <v>0</v>
      </c>
      <c r="G91" s="1">
        <f t="shared" si="8"/>
        <v>0</v>
      </c>
      <c r="H91" s="1">
        <f t="shared" si="11"/>
        <v>256.8</v>
      </c>
      <c r="I91" s="1">
        <f t="shared" si="9"/>
        <v>802.4</v>
      </c>
    </row>
    <row r="92" spans="1:9" ht="18" hidden="1">
      <c r="A92" s="29" t="s">
        <v>15</v>
      </c>
      <c r="B92" s="49"/>
      <c r="C92" s="50"/>
      <c r="D92" s="50"/>
      <c r="E92" s="12">
        <f>D92/D89*100</f>
        <v>0</v>
      </c>
      <c r="F92" s="1"/>
      <c r="G92" s="1" t="e">
        <f t="shared" si="8"/>
        <v>#DIV/0!</v>
      </c>
      <c r="H92" s="1">
        <f t="shared" si="11"/>
        <v>0</v>
      </c>
      <c r="I92" s="1">
        <f t="shared" si="9"/>
        <v>0</v>
      </c>
    </row>
    <row r="93" spans="1:9" ht="18.75" thickBot="1">
      <c r="A93" s="29" t="s">
        <v>34</v>
      </c>
      <c r="B93" s="50">
        <f>B89-B90-B91-B92</f>
        <v>373.5999999999996</v>
      </c>
      <c r="C93" s="50">
        <f>C89-C90-C91-C92</f>
        <v>1122.1</v>
      </c>
      <c r="D93" s="50">
        <f>D89-D90-D91-D92</f>
        <v>28.400000000000546</v>
      </c>
      <c r="E93" s="1">
        <f>D93/D89*100</f>
        <v>1.9715376605345738</v>
      </c>
      <c r="F93" s="1">
        <f t="shared" si="10"/>
        <v>7.601713062098654</v>
      </c>
      <c r="G93" s="1">
        <f>D93/C93*100</f>
        <v>2.530968719365524</v>
      </c>
      <c r="H93" s="1">
        <f t="shared" si="11"/>
        <v>345.1999999999991</v>
      </c>
      <c r="I93" s="1">
        <f>C93-D93</f>
        <v>1093.6999999999994</v>
      </c>
    </row>
    <row r="94" spans="1:9" ht="18.75">
      <c r="A94" s="119" t="s">
        <v>12</v>
      </c>
      <c r="B94" s="124">
        <v>5188.7</v>
      </c>
      <c r="C94" s="126">
        <v>15566</v>
      </c>
      <c r="D94" s="125">
        <f>3050.1+485.9+95+377.6+203.8</f>
        <v>4212.4</v>
      </c>
      <c r="E94" s="118">
        <f>D94/D149*100</f>
        <v>8.599016065486762</v>
      </c>
      <c r="F94" s="122">
        <f t="shared" si="10"/>
        <v>81.18411162718985</v>
      </c>
      <c r="G94" s="117">
        <f>D94/C94*100</f>
        <v>27.061544391622768</v>
      </c>
      <c r="H94" s="123">
        <f t="shared" si="11"/>
        <v>976.3000000000002</v>
      </c>
      <c r="I94" s="118">
        <f>C94-D94</f>
        <v>11353.6</v>
      </c>
    </row>
    <row r="95" spans="1:9" ht="18.75" thickBot="1">
      <c r="A95" s="120" t="s">
        <v>104</v>
      </c>
      <c r="B95" s="127">
        <v>430</v>
      </c>
      <c r="C95" s="128">
        <v>1290</v>
      </c>
      <c r="D95" s="129"/>
      <c r="E95" s="130">
        <f>D95/D94*100</f>
        <v>0</v>
      </c>
      <c r="F95" s="131">
        <f t="shared" si="10"/>
        <v>0</v>
      </c>
      <c r="G95" s="132">
        <f>D95/C95*100</f>
        <v>0</v>
      </c>
      <c r="H95" s="121">
        <f t="shared" si="11"/>
        <v>430</v>
      </c>
      <c r="I95" s="95">
        <f>C95-D95</f>
        <v>1290</v>
      </c>
    </row>
    <row r="96" spans="1:9" ht="8.25" customHeight="1" thickBot="1">
      <c r="A96" s="23"/>
      <c r="B96" s="58"/>
      <c r="C96" s="67"/>
      <c r="D96" s="68"/>
      <c r="E96" s="6"/>
      <c r="F96" s="6"/>
      <c r="G96" s="6"/>
      <c r="H96" s="6"/>
      <c r="I96" s="6"/>
    </row>
    <row r="97" spans="1:9" ht="19.5" hidden="1" thickBot="1">
      <c r="A97" s="33" t="s">
        <v>45</v>
      </c>
      <c r="B97" s="75"/>
      <c r="C97" s="76"/>
      <c r="D97" s="77"/>
      <c r="E97" s="3">
        <f>D97/D149*100</f>
        <v>0</v>
      </c>
      <c r="F97" s="3"/>
      <c r="G97" s="3" t="e">
        <f>D97/C97*100</f>
        <v>#DIV/0!</v>
      </c>
      <c r="H97" s="3"/>
      <c r="I97" s="3">
        <f>C97-D97</f>
        <v>0</v>
      </c>
    </row>
    <row r="98" spans="1:9" ht="5.25" customHeight="1" hidden="1" thickBot="1">
      <c r="A98" s="32"/>
      <c r="B98" s="72"/>
      <c r="C98" s="73"/>
      <c r="D98" s="74"/>
      <c r="E98" s="15"/>
      <c r="F98" s="6"/>
      <c r="G98" s="6"/>
      <c r="H98" s="6"/>
      <c r="I98" s="13"/>
    </row>
    <row r="99" spans="1:9" s="16" customFormat="1" ht="36" customHeight="1" hidden="1" thickBot="1">
      <c r="A99" s="14" t="s">
        <v>65</v>
      </c>
      <c r="B99" s="61"/>
      <c r="C99" s="53"/>
      <c r="D99" s="54"/>
      <c r="E99" s="3">
        <f>D99/D149*100</f>
        <v>0</v>
      </c>
      <c r="F99" s="3" t="e">
        <f>D99/B99*100</f>
        <v>#DIV/0!</v>
      </c>
      <c r="G99" s="3" t="e">
        <f>D99/C99*100</f>
        <v>#DIV/0!</v>
      </c>
      <c r="H99" s="3">
        <f>B99-D99</f>
        <v>0</v>
      </c>
      <c r="I99" s="3">
        <f>C99-D99</f>
        <v>0</v>
      </c>
    </row>
    <row r="100" spans="1:9" ht="6.75" customHeight="1" hidden="1" thickBot="1">
      <c r="A100" s="111"/>
      <c r="B100" s="112"/>
      <c r="C100" s="73"/>
      <c r="D100" s="74"/>
      <c r="E100" s="15"/>
      <c r="F100" s="6"/>
      <c r="G100" s="6"/>
      <c r="H100" s="6"/>
      <c r="I100" s="13"/>
    </row>
    <row r="101" spans="1:9" s="44" customFormat="1" ht="19.5" thickBot="1">
      <c r="A101" s="14" t="s">
        <v>11</v>
      </c>
      <c r="B101" s="61">
        <f>862.9+54.2</f>
        <v>917.1</v>
      </c>
      <c r="C101" s="103">
        <f>2588.7+162.5</f>
        <v>2751.2</v>
      </c>
      <c r="D101" s="90">
        <f>40+388.7</f>
        <v>428.7</v>
      </c>
      <c r="E101" s="25">
        <f>D101/D149*100</f>
        <v>0.8751301365668442</v>
      </c>
      <c r="F101" s="25">
        <f>D101/B101*100</f>
        <v>46.745175008177945</v>
      </c>
      <c r="G101" s="25">
        <f aca="true" t="shared" si="12" ref="G101:G147">D101/C101*100</f>
        <v>15.582291363768539</v>
      </c>
      <c r="H101" s="25">
        <f aca="true" t="shared" si="13" ref="H101:H106">B101-D101</f>
        <v>488.40000000000003</v>
      </c>
      <c r="I101" s="25">
        <f aca="true" t="shared" si="14" ref="I101:I147">C101-D101</f>
        <v>2322.5</v>
      </c>
    </row>
    <row r="102" spans="1:9" ht="18">
      <c r="A102" s="29" t="s">
        <v>3</v>
      </c>
      <c r="B102" s="100">
        <f>6.2</f>
        <v>6.2</v>
      </c>
      <c r="C102" s="98">
        <f>18.7</f>
        <v>18.7</v>
      </c>
      <c r="D102" s="98"/>
      <c r="E102" s="94">
        <f>D102/D101*100</f>
        <v>0</v>
      </c>
      <c r="F102" s="1">
        <f>D102/B102*100</f>
        <v>0</v>
      </c>
      <c r="G102" s="94">
        <f>D102/C102*100</f>
        <v>0</v>
      </c>
      <c r="H102" s="94">
        <f t="shared" si="13"/>
        <v>6.2</v>
      </c>
      <c r="I102" s="94">
        <f t="shared" si="14"/>
        <v>18.7</v>
      </c>
    </row>
    <row r="103" spans="1:9" ht="18">
      <c r="A103" s="96" t="s">
        <v>62</v>
      </c>
      <c r="B103" s="81">
        <f>774.8+1.9</f>
        <v>776.6999999999999</v>
      </c>
      <c r="C103" s="51">
        <v>2321.2</v>
      </c>
      <c r="D103" s="51">
        <f>39.8+388.5</f>
        <v>428.3</v>
      </c>
      <c r="E103" s="1">
        <f>D103/D101*100</f>
        <v>99.90669465826919</v>
      </c>
      <c r="F103" s="1">
        <f aca="true" t="shared" si="15" ref="F103:F147">D103/B103*100</f>
        <v>55.14355607055492</v>
      </c>
      <c r="G103" s="1">
        <f t="shared" si="12"/>
        <v>18.45166293296571</v>
      </c>
      <c r="H103" s="1">
        <f t="shared" si="13"/>
        <v>348.3999999999999</v>
      </c>
      <c r="I103" s="1">
        <f t="shared" si="14"/>
        <v>1892.8999999999999</v>
      </c>
    </row>
    <row r="104" spans="1:9" ht="54.75" hidden="1" thickBot="1">
      <c r="A104" s="97" t="s">
        <v>100</v>
      </c>
      <c r="B104" s="99"/>
      <c r="C104" s="99"/>
      <c r="D104" s="99"/>
      <c r="E104" s="95">
        <f>D104/D101*100</f>
        <v>0</v>
      </c>
      <c r="F104" s="95" t="e">
        <f>D104/B104*100</f>
        <v>#DIV/0!</v>
      </c>
      <c r="G104" s="95" t="e">
        <f>D104/C104*100</f>
        <v>#DIV/0!</v>
      </c>
      <c r="H104" s="95">
        <f t="shared" si="13"/>
        <v>0</v>
      </c>
      <c r="I104" s="95">
        <f>C104-D104</f>
        <v>0</v>
      </c>
    </row>
    <row r="105" spans="1:9" ht="18.75" thickBot="1">
      <c r="A105" s="97" t="s">
        <v>34</v>
      </c>
      <c r="B105" s="99">
        <f>B101-B102-B103</f>
        <v>134.20000000000005</v>
      </c>
      <c r="C105" s="99">
        <f>C101-C102-C103</f>
        <v>411.3000000000002</v>
      </c>
      <c r="D105" s="99">
        <f>D101-D102-D103</f>
        <v>0.39999999999997726</v>
      </c>
      <c r="E105" s="95">
        <f>D105/D101*100</f>
        <v>0.09330534173080879</v>
      </c>
      <c r="F105" s="95">
        <f t="shared" si="15"/>
        <v>0.2980625931445433</v>
      </c>
      <c r="G105" s="95">
        <f t="shared" si="12"/>
        <v>0.09725261366398665</v>
      </c>
      <c r="H105" s="95">
        <f>B105-D105</f>
        <v>133.80000000000007</v>
      </c>
      <c r="I105" s="95">
        <f t="shared" si="14"/>
        <v>410.9000000000002</v>
      </c>
    </row>
    <row r="106" spans="1:9" s="2" customFormat="1" ht="26.25" customHeight="1" thickBot="1">
      <c r="A106" s="91" t="s">
        <v>35</v>
      </c>
      <c r="B106" s="92">
        <f>SUM(B107:B146)-B114-B118+B147-B138-B139-B108-B111-B121-B122-B136-B130-B128</f>
        <v>5024.699999999999</v>
      </c>
      <c r="C106" s="92">
        <f>SUM(C107:C146)-C114-C118+C147-C138-C139-C108-C111-C121-C122-C136-C130-C128</f>
        <v>17188.5</v>
      </c>
      <c r="D106" s="92">
        <f>SUM(D107:D146)-D114-D118+D147-D138-D139-D108-D111-D121-D122-D136-D130-D128</f>
        <v>1739.8000000000002</v>
      </c>
      <c r="E106" s="93">
        <f>D106/D149*100</f>
        <v>3.551554494049442</v>
      </c>
      <c r="F106" s="93">
        <f>D106/B106*100</f>
        <v>34.62495273349654</v>
      </c>
      <c r="G106" s="93">
        <f t="shared" si="12"/>
        <v>10.12188381766879</v>
      </c>
      <c r="H106" s="93">
        <f t="shared" si="13"/>
        <v>3284.8999999999987</v>
      </c>
      <c r="I106" s="93">
        <f t="shared" si="14"/>
        <v>15448.7</v>
      </c>
    </row>
    <row r="107" spans="1:9" ht="37.5">
      <c r="A107" s="34" t="s">
        <v>66</v>
      </c>
      <c r="B107" s="78">
        <v>150</v>
      </c>
      <c r="C107" s="74">
        <v>449.9</v>
      </c>
      <c r="D107" s="79"/>
      <c r="E107" s="6">
        <f>D107/D106*100</f>
        <v>0</v>
      </c>
      <c r="F107" s="6">
        <f t="shared" si="15"/>
        <v>0</v>
      </c>
      <c r="G107" s="6">
        <f t="shared" si="12"/>
        <v>0</v>
      </c>
      <c r="H107" s="6">
        <f aca="true" t="shared" si="16" ref="H107:H147">B107-D107</f>
        <v>150</v>
      </c>
      <c r="I107" s="6">
        <f t="shared" si="14"/>
        <v>449.9</v>
      </c>
    </row>
    <row r="108" spans="1:9" ht="18">
      <c r="A108" s="29" t="s">
        <v>32</v>
      </c>
      <c r="B108" s="81">
        <v>112.1</v>
      </c>
      <c r="C108" s="51">
        <v>318.3</v>
      </c>
      <c r="D108" s="82"/>
      <c r="E108" s="1"/>
      <c r="F108" s="1">
        <f t="shared" si="15"/>
        <v>0</v>
      </c>
      <c r="G108" s="1">
        <f t="shared" si="12"/>
        <v>0</v>
      </c>
      <c r="H108" s="1">
        <f t="shared" si="16"/>
        <v>112.1</v>
      </c>
      <c r="I108" s="1">
        <f t="shared" si="14"/>
        <v>318.3</v>
      </c>
    </row>
    <row r="109" spans="1:9" ht="34.5" customHeight="1">
      <c r="A109" s="17" t="s">
        <v>99</v>
      </c>
      <c r="B109" s="80">
        <v>75.3</v>
      </c>
      <c r="C109" s="68">
        <v>226</v>
      </c>
      <c r="D109" s="79"/>
      <c r="E109" s="6">
        <f>D109/D106*100</f>
        <v>0</v>
      </c>
      <c r="F109" s="6">
        <f>D109/B109*100</f>
        <v>0</v>
      </c>
      <c r="G109" s="6">
        <f t="shared" si="12"/>
        <v>0</v>
      </c>
      <c r="H109" s="6">
        <f t="shared" si="16"/>
        <v>75.3</v>
      </c>
      <c r="I109" s="6">
        <f t="shared" si="14"/>
        <v>226</v>
      </c>
    </row>
    <row r="110" spans="1:9" s="44" customFormat="1" ht="34.5" customHeight="1" hidden="1">
      <c r="A110" s="17" t="s">
        <v>74</v>
      </c>
      <c r="B110" s="80"/>
      <c r="C110" s="60"/>
      <c r="D110" s="83"/>
      <c r="E110" s="6">
        <f>D110/D106*100</f>
        <v>0</v>
      </c>
      <c r="F110" s="6" t="e">
        <f t="shared" si="15"/>
        <v>#DIV/0!</v>
      </c>
      <c r="G110" s="6" t="e">
        <f t="shared" si="12"/>
        <v>#DIV/0!</v>
      </c>
      <c r="H110" s="6">
        <f t="shared" si="16"/>
        <v>0</v>
      </c>
      <c r="I110" s="6">
        <f t="shared" si="14"/>
        <v>0</v>
      </c>
    </row>
    <row r="111" spans="1:9" ht="18" hidden="1">
      <c r="A111" s="29" t="s">
        <v>32</v>
      </c>
      <c r="B111" s="81"/>
      <c r="C111" s="51"/>
      <c r="D111" s="82"/>
      <c r="E111" s="1"/>
      <c r="F111" s="1" t="e">
        <f t="shared" si="15"/>
        <v>#DIV/0!</v>
      </c>
      <c r="G111" s="1" t="e">
        <f t="shared" si="12"/>
        <v>#DIV/0!</v>
      </c>
      <c r="H111" s="1">
        <f t="shared" si="16"/>
        <v>0</v>
      </c>
      <c r="I111" s="1">
        <f t="shared" si="14"/>
        <v>0</v>
      </c>
    </row>
    <row r="112" spans="1:9" ht="37.5" hidden="1">
      <c r="A112" s="17" t="s">
        <v>73</v>
      </c>
      <c r="B112" s="80"/>
      <c r="C112" s="68"/>
      <c r="D112" s="79"/>
      <c r="E112" s="6">
        <f>D112/D106*100</f>
        <v>0</v>
      </c>
      <c r="F112" s="6" t="e">
        <f t="shared" si="15"/>
        <v>#DIV/0!</v>
      </c>
      <c r="G112" s="6" t="e">
        <f t="shared" si="12"/>
        <v>#DIV/0!</v>
      </c>
      <c r="H112" s="6">
        <f t="shared" si="16"/>
        <v>0</v>
      </c>
      <c r="I112" s="6">
        <f t="shared" si="14"/>
        <v>0</v>
      </c>
    </row>
    <row r="113" spans="1:9" ht="37.5">
      <c r="A113" s="17" t="s">
        <v>46</v>
      </c>
      <c r="B113" s="80">
        <v>127.7</v>
      </c>
      <c r="C113" s="68">
        <v>383.1</v>
      </c>
      <c r="D113" s="79">
        <f>82.2</f>
        <v>82.2</v>
      </c>
      <c r="E113" s="6">
        <f>D113/D106*100</f>
        <v>4.724680997815841</v>
      </c>
      <c r="F113" s="6">
        <f t="shared" si="15"/>
        <v>64.36961628817541</v>
      </c>
      <c r="G113" s="6">
        <f t="shared" si="12"/>
        <v>21.456538762725135</v>
      </c>
      <c r="H113" s="6">
        <f t="shared" si="16"/>
        <v>45.5</v>
      </c>
      <c r="I113" s="6">
        <f t="shared" si="14"/>
        <v>300.90000000000003</v>
      </c>
    </row>
    <row r="114" spans="1:9" ht="18" hidden="1">
      <c r="A114" s="40" t="s">
        <v>53</v>
      </c>
      <c r="B114" s="81"/>
      <c r="C114" s="51"/>
      <c r="D114" s="82"/>
      <c r="E114" s="6"/>
      <c r="F114" s="6" t="e">
        <f t="shared" si="15"/>
        <v>#DIV/0!</v>
      </c>
      <c r="G114" s="1" t="e">
        <f t="shared" si="12"/>
        <v>#DIV/0!</v>
      </c>
      <c r="H114" s="1">
        <f t="shared" si="16"/>
        <v>0</v>
      </c>
      <c r="I114" s="1">
        <f t="shared" si="14"/>
        <v>0</v>
      </c>
    </row>
    <row r="115" spans="1:9" s="44" customFormat="1" ht="18.75" customHeight="1" hidden="1">
      <c r="A115" s="17" t="s">
        <v>59</v>
      </c>
      <c r="B115" s="80"/>
      <c r="C115" s="60"/>
      <c r="D115" s="83"/>
      <c r="E115" s="19">
        <f>D115/D106*100</f>
        <v>0</v>
      </c>
      <c r="F115" s="6" t="e">
        <f t="shared" si="15"/>
        <v>#DIV/0!</v>
      </c>
      <c r="G115" s="19" t="e">
        <f t="shared" si="12"/>
        <v>#DIV/0!</v>
      </c>
      <c r="H115" s="19">
        <f t="shared" si="16"/>
        <v>0</v>
      </c>
      <c r="I115" s="19">
        <f t="shared" si="14"/>
        <v>0</v>
      </c>
    </row>
    <row r="116" spans="1:9" ht="37.5" hidden="1">
      <c r="A116" s="17" t="s">
        <v>58</v>
      </c>
      <c r="B116" s="80"/>
      <c r="C116" s="68"/>
      <c r="D116" s="79"/>
      <c r="E116" s="6">
        <f>D116/D106*100</f>
        <v>0</v>
      </c>
      <c r="F116" s="6" t="e">
        <f>D116/B116*100</f>
        <v>#DIV/0!</v>
      </c>
      <c r="G116" s="6" t="e">
        <f t="shared" si="12"/>
        <v>#DIV/0!</v>
      </c>
      <c r="H116" s="6">
        <f t="shared" si="16"/>
        <v>0</v>
      </c>
      <c r="I116" s="6">
        <f t="shared" si="14"/>
        <v>0</v>
      </c>
    </row>
    <row r="117" spans="1:9" s="2" customFormat="1" ht="18.75">
      <c r="A117" s="17" t="s">
        <v>16</v>
      </c>
      <c r="B117" s="80">
        <v>20.1</v>
      </c>
      <c r="C117" s="60">
        <v>60.4</v>
      </c>
      <c r="D117" s="79">
        <f>17.1</f>
        <v>17.1</v>
      </c>
      <c r="E117" s="6">
        <f>D117/D106*100</f>
        <v>0.982871594436142</v>
      </c>
      <c r="F117" s="6">
        <f t="shared" si="15"/>
        <v>85.07462686567165</v>
      </c>
      <c r="G117" s="6">
        <f t="shared" si="12"/>
        <v>28.311258278145697</v>
      </c>
      <c r="H117" s="6">
        <f t="shared" si="16"/>
        <v>3</v>
      </c>
      <c r="I117" s="6">
        <f t="shared" si="14"/>
        <v>43.3</v>
      </c>
    </row>
    <row r="118" spans="1:9" s="39" customFormat="1" ht="18">
      <c r="A118" s="40" t="s">
        <v>53</v>
      </c>
      <c r="B118" s="81">
        <v>18.6</v>
      </c>
      <c r="C118" s="51">
        <v>55.7</v>
      </c>
      <c r="D118" s="82">
        <f>17.1</f>
        <v>17.1</v>
      </c>
      <c r="E118" s="1">
        <f>D118/D117*100</f>
        <v>100</v>
      </c>
      <c r="F118" s="1">
        <f t="shared" si="15"/>
        <v>91.93548387096774</v>
      </c>
      <c r="G118" s="1">
        <f t="shared" si="12"/>
        <v>30.700179533213646</v>
      </c>
      <c r="H118" s="1">
        <f t="shared" si="16"/>
        <v>1.5</v>
      </c>
      <c r="I118" s="1">
        <f t="shared" si="14"/>
        <v>38.6</v>
      </c>
    </row>
    <row r="119" spans="1:9" s="2" customFormat="1" ht="18.75" hidden="1">
      <c r="A119" s="17" t="s">
        <v>25</v>
      </c>
      <c r="B119" s="80"/>
      <c r="C119" s="60"/>
      <c r="D119" s="79"/>
      <c r="E119" s="6">
        <f>D119/D106*100</f>
        <v>0</v>
      </c>
      <c r="F119" s="6" t="e">
        <f t="shared" si="15"/>
        <v>#DIV/0!</v>
      </c>
      <c r="G119" s="6" t="e">
        <f t="shared" si="12"/>
        <v>#DIV/0!</v>
      </c>
      <c r="H119" s="6">
        <f t="shared" si="16"/>
        <v>0</v>
      </c>
      <c r="I119" s="6">
        <f t="shared" si="14"/>
        <v>0</v>
      </c>
    </row>
    <row r="120" spans="1:9" s="2" customFormat="1" ht="21.75" customHeight="1">
      <c r="A120" s="17" t="s">
        <v>44</v>
      </c>
      <c r="B120" s="80">
        <v>91.1</v>
      </c>
      <c r="C120" s="60">
        <v>273.2</v>
      </c>
      <c r="D120" s="83"/>
      <c r="E120" s="19">
        <f>D120/D106*100</f>
        <v>0</v>
      </c>
      <c r="F120" s="6">
        <f t="shared" si="15"/>
        <v>0</v>
      </c>
      <c r="G120" s="6">
        <f t="shared" si="12"/>
        <v>0</v>
      </c>
      <c r="H120" s="6">
        <f t="shared" si="16"/>
        <v>91.1</v>
      </c>
      <c r="I120" s="6">
        <f t="shared" si="14"/>
        <v>273.2</v>
      </c>
    </row>
    <row r="121" spans="1:9" s="113" customFormat="1" ht="18" hidden="1">
      <c r="A121" s="29" t="s">
        <v>101</v>
      </c>
      <c r="B121" s="81"/>
      <c r="C121" s="51"/>
      <c r="D121" s="82"/>
      <c r="E121" s="6"/>
      <c r="F121" s="1" t="e">
        <f>D121/B121*100</f>
        <v>#DIV/0!</v>
      </c>
      <c r="G121" s="1" t="e">
        <f t="shared" si="12"/>
        <v>#DIV/0!</v>
      </c>
      <c r="H121" s="1">
        <f t="shared" si="16"/>
        <v>0</v>
      </c>
      <c r="I121" s="1">
        <f t="shared" si="14"/>
        <v>0</v>
      </c>
    </row>
    <row r="122" spans="1:9" s="113" customFormat="1" ht="18" hidden="1">
      <c r="A122" s="29" t="s">
        <v>63</v>
      </c>
      <c r="B122" s="81"/>
      <c r="C122" s="51"/>
      <c r="D122" s="82"/>
      <c r="E122" s="6"/>
      <c r="F122" s="1" t="e">
        <f>D122/B122*100</f>
        <v>#DIV/0!</v>
      </c>
      <c r="G122" s="1" t="e">
        <f t="shared" si="12"/>
        <v>#DIV/0!</v>
      </c>
      <c r="H122" s="1">
        <f t="shared" si="16"/>
        <v>0</v>
      </c>
      <c r="I122" s="1">
        <f t="shared" si="14"/>
        <v>0</v>
      </c>
    </row>
    <row r="123" spans="1:9" s="2" customFormat="1" ht="37.5">
      <c r="A123" s="17" t="s">
        <v>48</v>
      </c>
      <c r="B123" s="80">
        <v>244.5</v>
      </c>
      <c r="C123" s="60">
        <v>733.4</v>
      </c>
      <c r="D123" s="83"/>
      <c r="E123" s="19">
        <f>D123/D106*100</f>
        <v>0</v>
      </c>
      <c r="F123" s="6">
        <f t="shared" si="15"/>
        <v>0</v>
      </c>
      <c r="G123" s="6">
        <f t="shared" si="12"/>
        <v>0</v>
      </c>
      <c r="H123" s="6">
        <f t="shared" si="16"/>
        <v>244.5</v>
      </c>
      <c r="I123" s="6">
        <f t="shared" si="14"/>
        <v>733.4</v>
      </c>
    </row>
    <row r="124" spans="1:9" s="2" customFormat="1" ht="56.25" hidden="1">
      <c r="A124" s="17" t="s">
        <v>55</v>
      </c>
      <c r="B124" s="80"/>
      <c r="C124" s="60"/>
      <c r="D124" s="83"/>
      <c r="E124" s="19">
        <f>D124/D106*100</f>
        <v>0</v>
      </c>
      <c r="F124" s="6" t="e">
        <f t="shared" si="15"/>
        <v>#DIV/0!</v>
      </c>
      <c r="G124" s="6" t="e">
        <f t="shared" si="12"/>
        <v>#DIV/0!</v>
      </c>
      <c r="H124" s="6">
        <f t="shared" si="16"/>
        <v>0</v>
      </c>
      <c r="I124" s="6">
        <f t="shared" si="14"/>
        <v>0</v>
      </c>
    </row>
    <row r="125" spans="1:9" s="2" customFormat="1" ht="18.75" hidden="1">
      <c r="A125" s="17" t="s">
        <v>97</v>
      </c>
      <c r="B125" s="80"/>
      <c r="C125" s="60"/>
      <c r="D125" s="83"/>
      <c r="E125" s="19">
        <f>D125/D106*100</f>
        <v>0</v>
      </c>
      <c r="F125" s="6" t="e">
        <f t="shared" si="15"/>
        <v>#DIV/0!</v>
      </c>
      <c r="G125" s="6" t="e">
        <f t="shared" si="12"/>
        <v>#DIV/0!</v>
      </c>
      <c r="H125" s="6">
        <f t="shared" si="16"/>
        <v>0</v>
      </c>
      <c r="I125" s="6">
        <f t="shared" si="14"/>
        <v>0</v>
      </c>
    </row>
    <row r="126" spans="1:9" s="2" customFormat="1" ht="37.5">
      <c r="A126" s="17" t="s">
        <v>106</v>
      </c>
      <c r="B126" s="80">
        <v>27.7</v>
      </c>
      <c r="C126" s="60">
        <v>83.1</v>
      </c>
      <c r="D126" s="83"/>
      <c r="E126" s="19">
        <f>D126/D106*100</f>
        <v>0</v>
      </c>
      <c r="F126" s="6">
        <f t="shared" si="15"/>
        <v>0</v>
      </c>
      <c r="G126" s="6">
        <f t="shared" si="12"/>
        <v>0</v>
      </c>
      <c r="H126" s="6">
        <f t="shared" si="16"/>
        <v>27.7</v>
      </c>
      <c r="I126" s="6">
        <f t="shared" si="14"/>
        <v>83.1</v>
      </c>
    </row>
    <row r="127" spans="1:9" s="2" customFormat="1" ht="37.5">
      <c r="A127" s="17" t="s">
        <v>77</v>
      </c>
      <c r="B127" s="80">
        <v>68.6</v>
      </c>
      <c r="C127" s="60">
        <v>205.8</v>
      </c>
      <c r="D127" s="83">
        <f>2.8</f>
        <v>2.8</v>
      </c>
      <c r="E127" s="19">
        <f>D127/D106*100</f>
        <v>0.1609380388550408</v>
      </c>
      <c r="F127" s="6">
        <f t="shared" si="15"/>
        <v>4.081632653061225</v>
      </c>
      <c r="G127" s="6">
        <f t="shared" si="12"/>
        <v>1.3605442176870746</v>
      </c>
      <c r="H127" s="6">
        <f t="shared" si="16"/>
        <v>65.8</v>
      </c>
      <c r="I127" s="6">
        <f t="shared" si="14"/>
        <v>203</v>
      </c>
    </row>
    <row r="128" spans="1:9" s="39" customFormat="1" ht="18">
      <c r="A128" s="29" t="s">
        <v>115</v>
      </c>
      <c r="B128" s="81">
        <v>2.8</v>
      </c>
      <c r="C128" s="51">
        <v>8.3</v>
      </c>
      <c r="D128" s="82">
        <f>2.8</f>
        <v>2.8</v>
      </c>
      <c r="E128" s="1">
        <f>D128/D127*100</f>
        <v>100</v>
      </c>
      <c r="F128" s="1">
        <f>D128/B128*100</f>
        <v>100</v>
      </c>
      <c r="G128" s="1">
        <f t="shared" si="12"/>
        <v>33.734939759036145</v>
      </c>
      <c r="H128" s="1">
        <f t="shared" si="16"/>
        <v>0</v>
      </c>
      <c r="I128" s="1">
        <f t="shared" si="14"/>
        <v>5.500000000000001</v>
      </c>
    </row>
    <row r="129" spans="1:9" s="2" customFormat="1" ht="18.75" hidden="1">
      <c r="A129" s="17" t="s">
        <v>71</v>
      </c>
      <c r="B129" s="80"/>
      <c r="C129" s="60"/>
      <c r="D129" s="83"/>
      <c r="E129" s="19">
        <f>D129/D106*100</f>
        <v>0</v>
      </c>
      <c r="F129" s="6" t="e">
        <f t="shared" si="15"/>
        <v>#DIV/0!</v>
      </c>
      <c r="G129" s="6" t="e">
        <f t="shared" si="12"/>
        <v>#DIV/0!</v>
      </c>
      <c r="H129" s="6">
        <f t="shared" si="16"/>
        <v>0</v>
      </c>
      <c r="I129" s="6">
        <f t="shared" si="14"/>
        <v>0</v>
      </c>
    </row>
    <row r="130" spans="1:9" s="39" customFormat="1" ht="18" hidden="1">
      <c r="A130" s="40" t="s">
        <v>53</v>
      </c>
      <c r="B130" s="81"/>
      <c r="C130" s="51"/>
      <c r="D130" s="82"/>
      <c r="E130" s="1"/>
      <c r="F130" s="1" t="e">
        <f>D130/B130*100</f>
        <v>#DIV/0!</v>
      </c>
      <c r="G130" s="1" t="e">
        <f t="shared" si="12"/>
        <v>#DIV/0!</v>
      </c>
      <c r="H130" s="1">
        <f t="shared" si="16"/>
        <v>0</v>
      </c>
      <c r="I130" s="1">
        <f t="shared" si="14"/>
        <v>0</v>
      </c>
    </row>
    <row r="131" spans="1:9" s="2" customFormat="1" ht="35.25" customHeight="1">
      <c r="A131" s="17" t="s">
        <v>70</v>
      </c>
      <c r="B131" s="80">
        <v>6.4</v>
      </c>
      <c r="C131" s="60">
        <v>19.1</v>
      </c>
      <c r="D131" s="83"/>
      <c r="E131" s="19">
        <f>D131/D106*100</f>
        <v>0</v>
      </c>
      <c r="F131" s="6">
        <f t="shared" si="15"/>
        <v>0</v>
      </c>
      <c r="G131" s="6">
        <f t="shared" si="12"/>
        <v>0</v>
      </c>
      <c r="H131" s="6">
        <f t="shared" si="16"/>
        <v>6.4</v>
      </c>
      <c r="I131" s="6">
        <f t="shared" si="14"/>
        <v>19.1</v>
      </c>
    </row>
    <row r="132" spans="1:9" s="2" customFormat="1" ht="35.25" customHeight="1" hidden="1">
      <c r="A132" s="17" t="s">
        <v>72</v>
      </c>
      <c r="B132" s="80"/>
      <c r="C132" s="60"/>
      <c r="D132" s="83"/>
      <c r="E132" s="19">
        <f>D132/D106*100</f>
        <v>0</v>
      </c>
      <c r="F132" s="6" t="e">
        <f t="shared" si="15"/>
        <v>#DIV/0!</v>
      </c>
      <c r="G132" s="6" t="e">
        <f t="shared" si="12"/>
        <v>#DIV/0!</v>
      </c>
      <c r="H132" s="6">
        <f t="shared" si="16"/>
        <v>0</v>
      </c>
      <c r="I132" s="6">
        <f t="shared" si="14"/>
        <v>0</v>
      </c>
    </row>
    <row r="133" spans="1:9" s="2" customFormat="1" ht="35.25" customHeight="1">
      <c r="A133" s="17" t="s">
        <v>113</v>
      </c>
      <c r="B133" s="80">
        <v>4.2</v>
      </c>
      <c r="C133" s="60">
        <v>12.5</v>
      </c>
      <c r="D133" s="83"/>
      <c r="E133" s="19">
        <f>D133/D106*100</f>
        <v>0</v>
      </c>
      <c r="F133" s="6">
        <f t="shared" si="15"/>
        <v>0</v>
      </c>
      <c r="G133" s="6">
        <f t="shared" si="12"/>
        <v>0</v>
      </c>
      <c r="H133" s="6">
        <f t="shared" si="16"/>
        <v>4.2</v>
      </c>
      <c r="I133" s="6">
        <f t="shared" si="14"/>
        <v>12.5</v>
      </c>
    </row>
    <row r="134" spans="1:9" s="2" customFormat="1" ht="35.25" customHeight="1" hidden="1">
      <c r="A134" s="17" t="s">
        <v>114</v>
      </c>
      <c r="B134" s="80"/>
      <c r="C134" s="60"/>
      <c r="D134" s="83"/>
      <c r="E134" s="19">
        <f>D134/D106*100</f>
        <v>0</v>
      </c>
      <c r="F134" s="6" t="e">
        <f t="shared" si="15"/>
        <v>#DIV/0!</v>
      </c>
      <c r="G134" s="6" t="e">
        <f t="shared" si="12"/>
        <v>#DIV/0!</v>
      </c>
      <c r="H134" s="6">
        <f t="shared" si="16"/>
        <v>0</v>
      </c>
      <c r="I134" s="6">
        <f t="shared" si="14"/>
        <v>0</v>
      </c>
    </row>
    <row r="135" spans="1:9" s="2" customFormat="1" ht="37.5">
      <c r="A135" s="17" t="s">
        <v>105</v>
      </c>
      <c r="B135" s="80">
        <v>31.1</v>
      </c>
      <c r="C135" s="60">
        <v>93.2</v>
      </c>
      <c r="D135" s="83"/>
      <c r="E135" s="19">
        <f>D135/D106*100</f>
        <v>0</v>
      </c>
      <c r="F135" s="6">
        <f t="shared" si="15"/>
        <v>0</v>
      </c>
      <c r="G135" s="6">
        <f>D135/C135*100</f>
        <v>0</v>
      </c>
      <c r="H135" s="6">
        <f t="shared" si="16"/>
        <v>31.1</v>
      </c>
      <c r="I135" s="6">
        <f t="shared" si="14"/>
        <v>93.2</v>
      </c>
    </row>
    <row r="136" spans="1:9" s="39" customFormat="1" ht="18">
      <c r="A136" s="29" t="s">
        <v>32</v>
      </c>
      <c r="B136" s="81">
        <v>25.1</v>
      </c>
      <c r="C136" s="51">
        <v>75.2</v>
      </c>
      <c r="D136" s="82"/>
      <c r="E136" s="114" t="e">
        <f>D136/D135*100</f>
        <v>#DIV/0!</v>
      </c>
      <c r="F136" s="1">
        <f t="shared" si="15"/>
        <v>0</v>
      </c>
      <c r="G136" s="1">
        <f>D136/C136*100</f>
        <v>0</v>
      </c>
      <c r="H136" s="1">
        <f t="shared" si="16"/>
        <v>25.1</v>
      </c>
      <c r="I136" s="1">
        <f t="shared" si="14"/>
        <v>75.2</v>
      </c>
    </row>
    <row r="137" spans="1:9" s="2" customFormat="1" ht="18.75">
      <c r="A137" s="17" t="s">
        <v>31</v>
      </c>
      <c r="B137" s="80">
        <v>86.8</v>
      </c>
      <c r="C137" s="60">
        <v>260.4</v>
      </c>
      <c r="D137" s="83">
        <f>26.5</f>
        <v>26.5</v>
      </c>
      <c r="E137" s="19">
        <f>D137/D106*100</f>
        <v>1.523163582020922</v>
      </c>
      <c r="F137" s="6">
        <f t="shared" si="15"/>
        <v>30.52995391705069</v>
      </c>
      <c r="G137" s="6">
        <f t="shared" si="12"/>
        <v>10.176651305683565</v>
      </c>
      <c r="H137" s="6">
        <f t="shared" si="16"/>
        <v>60.3</v>
      </c>
      <c r="I137" s="6">
        <f t="shared" si="14"/>
        <v>233.89999999999998</v>
      </c>
    </row>
    <row r="138" spans="1:9" s="39" customFormat="1" ht="18">
      <c r="A138" s="40" t="s">
        <v>53</v>
      </c>
      <c r="B138" s="81">
        <v>74.6</v>
      </c>
      <c r="C138" s="51">
        <v>223.7</v>
      </c>
      <c r="D138" s="82">
        <f>26.5</f>
        <v>26.5</v>
      </c>
      <c r="E138" s="1">
        <f>D138/D137*100</f>
        <v>100</v>
      </c>
      <c r="F138" s="1">
        <f aca="true" t="shared" si="17" ref="F138:F146">D138/B138*100</f>
        <v>35.52278820375335</v>
      </c>
      <c r="G138" s="1">
        <f t="shared" si="12"/>
        <v>11.846222619579795</v>
      </c>
      <c r="H138" s="1">
        <f t="shared" si="16"/>
        <v>48.099999999999994</v>
      </c>
      <c r="I138" s="1">
        <f t="shared" si="14"/>
        <v>197.2</v>
      </c>
    </row>
    <row r="139" spans="1:9" s="39" customFormat="1" ht="18">
      <c r="A139" s="29" t="s">
        <v>32</v>
      </c>
      <c r="B139" s="81">
        <v>9.5</v>
      </c>
      <c r="C139" s="51">
        <v>25.4</v>
      </c>
      <c r="D139" s="82"/>
      <c r="E139" s="1">
        <f>D139/D137*100</f>
        <v>0</v>
      </c>
      <c r="F139" s="1">
        <f t="shared" si="17"/>
        <v>0</v>
      </c>
      <c r="G139" s="1">
        <f>D139/C139*100</f>
        <v>0</v>
      </c>
      <c r="H139" s="1">
        <f t="shared" si="16"/>
        <v>9.5</v>
      </c>
      <c r="I139" s="1">
        <f t="shared" si="14"/>
        <v>25.4</v>
      </c>
    </row>
    <row r="140" spans="1:9" s="2" customFormat="1" ht="56.25" hidden="1">
      <c r="A140" s="23" t="s">
        <v>110</v>
      </c>
      <c r="B140" s="80"/>
      <c r="C140" s="60"/>
      <c r="D140" s="83"/>
      <c r="E140" s="19">
        <f>D140/D106*100</f>
        <v>0</v>
      </c>
      <c r="F140" s="110" t="e">
        <f t="shared" si="17"/>
        <v>#DIV/0!</v>
      </c>
      <c r="G140" s="6" t="e">
        <f t="shared" si="12"/>
        <v>#DIV/0!</v>
      </c>
      <c r="H140" s="6">
        <f t="shared" si="16"/>
        <v>0</v>
      </c>
      <c r="I140" s="6">
        <f t="shared" si="14"/>
        <v>0</v>
      </c>
    </row>
    <row r="141" spans="1:9" s="2" customFormat="1" ht="18.75" hidden="1">
      <c r="A141" s="23" t="s">
        <v>112</v>
      </c>
      <c r="B141" s="80"/>
      <c r="C141" s="60"/>
      <c r="D141" s="83"/>
      <c r="E141" s="19">
        <f>D141/D106*100</f>
        <v>0</v>
      </c>
      <c r="F141" s="110" t="e">
        <f>D141/B141*100</f>
        <v>#DIV/0!</v>
      </c>
      <c r="G141" s="6" t="e">
        <f t="shared" si="12"/>
        <v>#DIV/0!</v>
      </c>
      <c r="H141" s="6">
        <f t="shared" si="16"/>
        <v>0</v>
      </c>
      <c r="I141" s="6">
        <f t="shared" si="14"/>
        <v>0</v>
      </c>
    </row>
    <row r="142" spans="1:9" s="2" customFormat="1" ht="18.75">
      <c r="A142" s="23" t="s">
        <v>107</v>
      </c>
      <c r="B142" s="80">
        <v>1245.8</v>
      </c>
      <c r="C142" s="60">
        <v>3737.5</v>
      </c>
      <c r="D142" s="83"/>
      <c r="E142" s="19">
        <f>D142/D106*100</f>
        <v>0</v>
      </c>
      <c r="F142" s="110">
        <f t="shared" si="17"/>
        <v>0</v>
      </c>
      <c r="G142" s="6">
        <f t="shared" si="12"/>
        <v>0</v>
      </c>
      <c r="H142" s="6">
        <f t="shared" si="16"/>
        <v>1245.8</v>
      </c>
      <c r="I142" s="6">
        <f t="shared" si="14"/>
        <v>3737.5</v>
      </c>
    </row>
    <row r="143" spans="1:9" s="2" customFormat="1" ht="18.75">
      <c r="A143" s="23" t="s">
        <v>108</v>
      </c>
      <c r="B143" s="80">
        <v>428.6</v>
      </c>
      <c r="C143" s="60">
        <v>1285.8</v>
      </c>
      <c r="D143" s="83"/>
      <c r="E143" s="19">
        <f>D143/D106*100</f>
        <v>0</v>
      </c>
      <c r="F143" s="110">
        <f t="shared" si="17"/>
        <v>0</v>
      </c>
      <c r="G143" s="6">
        <f t="shared" si="12"/>
        <v>0</v>
      </c>
      <c r="H143" s="6">
        <f t="shared" si="16"/>
        <v>428.6</v>
      </c>
      <c r="I143" s="6">
        <f t="shared" si="14"/>
        <v>1285.8</v>
      </c>
    </row>
    <row r="144" spans="1:9" s="2" customFormat="1" ht="18.75">
      <c r="A144" s="17" t="s">
        <v>111</v>
      </c>
      <c r="B144" s="80">
        <v>0</v>
      </c>
      <c r="C144" s="60">
        <v>2114.7</v>
      </c>
      <c r="D144" s="83"/>
      <c r="E144" s="19">
        <f>D144/D106*100</f>
        <v>0</v>
      </c>
      <c r="F144" s="134" t="e">
        <f t="shared" si="17"/>
        <v>#DIV/0!</v>
      </c>
      <c r="G144" s="6">
        <f t="shared" si="12"/>
        <v>0</v>
      </c>
      <c r="H144" s="6">
        <f t="shared" si="16"/>
        <v>0</v>
      </c>
      <c r="I144" s="6">
        <f t="shared" si="14"/>
        <v>2114.7</v>
      </c>
    </row>
    <row r="145" spans="1:12" s="2" customFormat="1" ht="18.75" customHeight="1" hidden="1">
      <c r="A145" s="17" t="s">
        <v>98</v>
      </c>
      <c r="B145" s="80"/>
      <c r="C145" s="60"/>
      <c r="D145" s="83"/>
      <c r="E145" s="19">
        <f>D145/D106*100</f>
        <v>0</v>
      </c>
      <c r="F145" s="110" t="e">
        <f t="shared" si="17"/>
        <v>#DIV/0!</v>
      </c>
      <c r="G145" s="6" t="e">
        <f t="shared" si="12"/>
        <v>#DIV/0!</v>
      </c>
      <c r="H145" s="6">
        <f t="shared" si="16"/>
        <v>0</v>
      </c>
      <c r="I145" s="6">
        <f t="shared" si="14"/>
        <v>0</v>
      </c>
      <c r="K145" s="45"/>
      <c r="L145" s="45"/>
    </row>
    <row r="146" spans="1:12" s="2" customFormat="1" ht="19.5" customHeight="1" hidden="1">
      <c r="A146" s="17" t="s">
        <v>64</v>
      </c>
      <c r="B146" s="80"/>
      <c r="C146" s="60"/>
      <c r="D146" s="83"/>
      <c r="E146" s="19">
        <f>D146/D106*100</f>
        <v>0</v>
      </c>
      <c r="F146" s="6" t="e">
        <f t="shared" si="17"/>
        <v>#DIV/0!</v>
      </c>
      <c r="G146" s="6" t="e">
        <f t="shared" si="12"/>
        <v>#DIV/0!</v>
      </c>
      <c r="H146" s="6">
        <f t="shared" si="16"/>
        <v>0</v>
      </c>
      <c r="I146" s="6">
        <f t="shared" si="14"/>
        <v>0</v>
      </c>
      <c r="K146" s="102"/>
      <c r="L146" s="45"/>
    </row>
    <row r="147" spans="1:12" s="2" customFormat="1" ht="18.75">
      <c r="A147" s="17" t="s">
        <v>109</v>
      </c>
      <c r="B147" s="80">
        <f>1855.3+561.5</f>
        <v>2416.8</v>
      </c>
      <c r="C147" s="60">
        <f>5565.9+1684.5</f>
        <v>7250.4</v>
      </c>
      <c r="D147" s="83">
        <f>805.6+805.6</f>
        <v>1611.2</v>
      </c>
      <c r="E147" s="19">
        <f>D147/D106*100</f>
        <v>92.60834578687205</v>
      </c>
      <c r="F147" s="6">
        <f t="shared" si="15"/>
        <v>66.66666666666666</v>
      </c>
      <c r="G147" s="6">
        <f t="shared" si="12"/>
        <v>22.222222222222225</v>
      </c>
      <c r="H147" s="6">
        <f t="shared" si="16"/>
        <v>805.6000000000001</v>
      </c>
      <c r="I147" s="6">
        <f t="shared" si="14"/>
        <v>5639.2</v>
      </c>
      <c r="K147" s="45"/>
      <c r="L147" s="45"/>
    </row>
    <row r="148" spans="1:12" s="2" customFormat="1" ht="19.5" thickBot="1">
      <c r="A148" s="41" t="s">
        <v>36</v>
      </c>
      <c r="B148" s="84">
        <f>B43+B68+B71+B76+B78+B86+B101+B106+B99+B83+B97</f>
        <v>6077.499999999999</v>
      </c>
      <c r="C148" s="84">
        <f>C43+C68+C71+C76+C78+C86+C101+C106+C99+C83+C97</f>
        <v>20346.8</v>
      </c>
      <c r="D148" s="60">
        <f>D43+D68+D71+D76+D78+D86+D101+D106+D99+D83+D97</f>
        <v>2168.5</v>
      </c>
      <c r="E148" s="19"/>
      <c r="F148" s="19"/>
      <c r="G148" s="6"/>
      <c r="H148" s="6"/>
      <c r="I148" s="20"/>
      <c r="K148" s="45"/>
      <c r="L148" s="45"/>
    </row>
    <row r="149" spans="1:12" ht="19.5" thickBot="1">
      <c r="A149" s="14" t="s">
        <v>19</v>
      </c>
      <c r="B149" s="54">
        <f>B6+B18+B33+B43+B51+B58+B68+B71+B76+B78+B86+B89+B94+B101+B106+B99+B83+B97+B45</f>
        <v>69138.2</v>
      </c>
      <c r="C149" s="54">
        <f>C6+C18+C33+C43+C51+C58+C68+C71+C76+C78+C86+C89+C94+C101+C106+C99+C83+C97+C45</f>
        <v>209529.40000000002</v>
      </c>
      <c r="D149" s="54">
        <f>D6+D18+D33+D43+D51+D58+D68+D71+D76+D78+D86+D89+D94+D101+D106+D99+D83+D97+D45</f>
        <v>48987</v>
      </c>
      <c r="E149" s="38">
        <v>100</v>
      </c>
      <c r="F149" s="3">
        <f>D149/B149*100</f>
        <v>70.85373932211137</v>
      </c>
      <c r="G149" s="3">
        <f aca="true" t="shared" si="18" ref="G149:G155">D149/C149*100</f>
        <v>23.37953528239951</v>
      </c>
      <c r="H149" s="3">
        <f aca="true" t="shared" si="19" ref="H149:H155">B149-D149</f>
        <v>20151.199999999997</v>
      </c>
      <c r="I149" s="3">
        <f aca="true" t="shared" si="20" ref="I149:I155">C149-D149</f>
        <v>160542.40000000002</v>
      </c>
      <c r="K149" s="46"/>
      <c r="L149" s="47"/>
    </row>
    <row r="150" spans="1:12" ht="18.75">
      <c r="A150" s="23" t="s">
        <v>5</v>
      </c>
      <c r="B150" s="67">
        <f>B8+B20+B34+B52+B59+B90+B114+B118+B46+B138+B130+B102</f>
        <v>45135.399999999994</v>
      </c>
      <c r="C150" s="67">
        <f>C8+C20+C34+C52+C59+C90+C114+C118+C46+C138+C130+C102</f>
        <v>124094.59999999998</v>
      </c>
      <c r="D150" s="67">
        <f>D8+D20+D34+D52+D59+D90+D114+D118+D46+D138+D130+D102</f>
        <v>39977</v>
      </c>
      <c r="E150" s="6">
        <f>D150/D149*100</f>
        <v>81.6073652193439</v>
      </c>
      <c r="F150" s="6">
        <f aca="true" t="shared" si="21" ref="F150:F161">D150/B150*100</f>
        <v>88.57127664759813</v>
      </c>
      <c r="G150" s="6">
        <f t="shared" si="18"/>
        <v>32.214939247960835</v>
      </c>
      <c r="H150" s="6">
        <f t="shared" si="19"/>
        <v>5158.399999999994</v>
      </c>
      <c r="I150" s="18">
        <f t="shared" si="20"/>
        <v>84117.59999999998</v>
      </c>
      <c r="K150" s="46"/>
      <c r="L150" s="47"/>
    </row>
    <row r="151" spans="1:12" ht="18.75">
      <c r="A151" s="23" t="s">
        <v>0</v>
      </c>
      <c r="B151" s="68">
        <f>B11+B23+B36+B55+B61+B91+B49+B139+B108+B111+B95+B136</f>
        <v>8160.1</v>
      </c>
      <c r="C151" s="68">
        <f>C11+C23+C36+C55+C61+C91+C49+C139+C108+C111+C95+C136</f>
        <v>35678.700000000004</v>
      </c>
      <c r="D151" s="68">
        <f>D11+D23+D36+D55+D61+D91+D49+D139+D108+D111+D95+D136</f>
        <v>961.6000000000001</v>
      </c>
      <c r="E151" s="6">
        <f>D151/D149*100</f>
        <v>1.962969767489334</v>
      </c>
      <c r="F151" s="6">
        <f t="shared" si="21"/>
        <v>11.784169311650594</v>
      </c>
      <c r="G151" s="6">
        <f t="shared" si="18"/>
        <v>2.695165462867201</v>
      </c>
      <c r="H151" s="6">
        <f t="shared" si="19"/>
        <v>7198.5</v>
      </c>
      <c r="I151" s="18">
        <f t="shared" si="20"/>
        <v>34717.100000000006</v>
      </c>
      <c r="K151" s="46"/>
      <c r="L151" s="101"/>
    </row>
    <row r="152" spans="1:12" ht="18.75">
      <c r="A152" s="23" t="s">
        <v>1</v>
      </c>
      <c r="B152" s="67">
        <f>B22+B10+B54+B48+B60+B35+B122</f>
        <v>1669.4</v>
      </c>
      <c r="C152" s="67">
        <f>C22+C10+C54+C48+C60+C35+C122</f>
        <v>5199.3</v>
      </c>
      <c r="D152" s="67">
        <f>D22+D10+D54+D48+D60+D35+D122</f>
        <v>657.5</v>
      </c>
      <c r="E152" s="6">
        <f>D152/D149*100</f>
        <v>1.3421928266682999</v>
      </c>
      <c r="F152" s="6">
        <f t="shared" si="21"/>
        <v>39.385407930993175</v>
      </c>
      <c r="G152" s="6">
        <f t="shared" si="18"/>
        <v>12.645933106379703</v>
      </c>
      <c r="H152" s="6">
        <f t="shared" si="19"/>
        <v>1011.9000000000001</v>
      </c>
      <c r="I152" s="18">
        <f t="shared" si="20"/>
        <v>4541.8</v>
      </c>
      <c r="K152" s="46"/>
      <c r="L152" s="47"/>
    </row>
    <row r="153" spans="1:12" ht="21" customHeight="1">
      <c r="A153" s="23" t="s">
        <v>15</v>
      </c>
      <c r="B153" s="67">
        <f>B12+B24+B103+B62+B38+B92+B128</f>
        <v>1190.3999999999999</v>
      </c>
      <c r="C153" s="67">
        <f>C12+C24+C103+C62+C38+C92+C128</f>
        <v>3418.4</v>
      </c>
      <c r="D153" s="67">
        <f>D12+D24+D103+D62+D38+D92+D128</f>
        <v>537.4</v>
      </c>
      <c r="E153" s="6">
        <f>D153/D149*100</f>
        <v>1.0970257415232614</v>
      </c>
      <c r="F153" s="6">
        <f t="shared" si="21"/>
        <v>45.14448924731183</v>
      </c>
      <c r="G153" s="6">
        <f t="shared" si="18"/>
        <v>15.72080505499649</v>
      </c>
      <c r="H153" s="6">
        <f t="shared" si="19"/>
        <v>652.9999999999999</v>
      </c>
      <c r="I153" s="18">
        <f t="shared" si="20"/>
        <v>2881</v>
      </c>
      <c r="K153" s="46"/>
      <c r="L153" s="101"/>
    </row>
    <row r="154" spans="1:12" ht="18.75">
      <c r="A154" s="23" t="s">
        <v>2</v>
      </c>
      <c r="B154" s="67">
        <f>B9+B21+B47+B53+B121</f>
        <v>1173.8</v>
      </c>
      <c r="C154" s="67">
        <f>C9+C21+C47+C53+C121</f>
        <v>3452.9</v>
      </c>
      <c r="D154" s="67">
        <f>D9+D21+D47+D53+D121</f>
        <v>264.1</v>
      </c>
      <c r="E154" s="6">
        <f>D154/D149*100</f>
        <v>0.5391226243697308</v>
      </c>
      <c r="F154" s="6">
        <f t="shared" si="21"/>
        <v>22.499574033055037</v>
      </c>
      <c r="G154" s="6">
        <f t="shared" si="18"/>
        <v>7.648643169509688</v>
      </c>
      <c r="H154" s="6">
        <f t="shared" si="19"/>
        <v>909.6999999999999</v>
      </c>
      <c r="I154" s="18">
        <f t="shared" si="20"/>
        <v>3188.8</v>
      </c>
      <c r="K154" s="46"/>
      <c r="L154" s="47"/>
    </row>
    <row r="155" spans="1:12" ht="19.5" thickBot="1">
      <c r="A155" s="23" t="s">
        <v>34</v>
      </c>
      <c r="B155" s="67">
        <f>B149-B150-B151-B152-B153-B154</f>
        <v>11809.100000000004</v>
      </c>
      <c r="C155" s="67">
        <f>C149-C150-C151-C152-C153-C154</f>
        <v>37685.50000000004</v>
      </c>
      <c r="D155" s="67">
        <f>D149-D150-D151-D152-D153-D154</f>
        <v>6589.4</v>
      </c>
      <c r="E155" s="6">
        <f>D155/D149*100</f>
        <v>13.451323820605465</v>
      </c>
      <c r="F155" s="6">
        <f t="shared" si="21"/>
        <v>55.79934118603448</v>
      </c>
      <c r="G155" s="43">
        <f t="shared" si="18"/>
        <v>17.485239681044416</v>
      </c>
      <c r="H155" s="6">
        <f t="shared" si="19"/>
        <v>5219.700000000004</v>
      </c>
      <c r="I155" s="6">
        <f t="shared" si="20"/>
        <v>31096.100000000035</v>
      </c>
      <c r="K155" s="46"/>
      <c r="L155" s="101"/>
    </row>
    <row r="156" spans="1:12" ht="5.25" customHeight="1" thickBot="1">
      <c r="A156" s="35"/>
      <c r="B156" s="85"/>
      <c r="C156" s="86"/>
      <c r="D156" s="86"/>
      <c r="E156" s="21"/>
      <c r="F156" s="21"/>
      <c r="G156" s="21"/>
      <c r="H156" s="21"/>
      <c r="I156" s="22"/>
      <c r="K156" s="46"/>
      <c r="L156" s="46"/>
    </row>
    <row r="157" spans="1:12" ht="18.75" hidden="1">
      <c r="A157" s="32" t="s">
        <v>21</v>
      </c>
      <c r="B157" s="87"/>
      <c r="C157" s="73"/>
      <c r="D157" s="73"/>
      <c r="E157" s="15"/>
      <c r="F157" s="6" t="e">
        <f t="shared" si="21"/>
        <v>#DIV/0!</v>
      </c>
      <c r="G157" s="6" t="e">
        <f aca="true" t="shared" si="22" ref="G157:G166">D157/C157*100</f>
        <v>#DIV/0!</v>
      </c>
      <c r="H157" s="6">
        <f>B157-D157</f>
        <v>0</v>
      </c>
      <c r="I157" s="6">
        <f aca="true" t="shared" si="23" ref="I157:I166">C157-D157</f>
        <v>0</v>
      </c>
      <c r="K157" s="46"/>
      <c r="L157" s="46"/>
    </row>
    <row r="158" spans="1:12" ht="18.75" hidden="1">
      <c r="A158" s="23" t="s">
        <v>22</v>
      </c>
      <c r="B158" s="88"/>
      <c r="C158" s="67"/>
      <c r="D158" s="67"/>
      <c r="E158" s="6"/>
      <c r="F158" s="6" t="e">
        <f t="shared" si="21"/>
        <v>#DIV/0!</v>
      </c>
      <c r="G158" s="6" t="e">
        <f t="shared" si="22"/>
        <v>#DIV/0!</v>
      </c>
      <c r="H158" s="6">
        <f aca="true" t="shared" si="24" ref="H158:H165">B158-D158</f>
        <v>0</v>
      </c>
      <c r="I158" s="6">
        <f t="shared" si="23"/>
        <v>0</v>
      </c>
      <c r="K158" s="46"/>
      <c r="L158" s="46"/>
    </row>
    <row r="159" spans="1:12" ht="18.75" hidden="1">
      <c r="A159" s="23" t="s">
        <v>60</v>
      </c>
      <c r="B159" s="88"/>
      <c r="C159" s="67"/>
      <c r="D159" s="67"/>
      <c r="E159" s="6"/>
      <c r="F159" s="6" t="e">
        <f t="shared" si="21"/>
        <v>#DIV/0!</v>
      </c>
      <c r="G159" s="6" t="e">
        <f t="shared" si="22"/>
        <v>#DIV/0!</v>
      </c>
      <c r="H159" s="6">
        <f t="shared" si="24"/>
        <v>0</v>
      </c>
      <c r="I159" s="6">
        <f t="shared" si="23"/>
        <v>0</v>
      </c>
      <c r="K159" s="46"/>
      <c r="L159" s="46"/>
    </row>
    <row r="160" spans="1:12" ht="37.5" hidden="1">
      <c r="A160" s="23" t="s">
        <v>69</v>
      </c>
      <c r="B160" s="88"/>
      <c r="C160" s="67"/>
      <c r="D160" s="67"/>
      <c r="E160" s="6"/>
      <c r="F160" s="6" t="e">
        <f t="shared" si="21"/>
        <v>#DIV/0!</v>
      </c>
      <c r="G160" s="6" t="e">
        <f t="shared" si="22"/>
        <v>#DIV/0!</v>
      </c>
      <c r="H160" s="6">
        <f t="shared" si="24"/>
        <v>0</v>
      </c>
      <c r="I160" s="6">
        <f t="shared" si="23"/>
        <v>0</v>
      </c>
      <c r="K160" s="46"/>
      <c r="L160" s="46"/>
    </row>
    <row r="161" spans="1:12" ht="18.75" hidden="1">
      <c r="A161" s="23" t="s">
        <v>13</v>
      </c>
      <c r="B161" s="88"/>
      <c r="C161" s="67"/>
      <c r="D161" s="67"/>
      <c r="E161" s="19"/>
      <c r="F161" s="6" t="e">
        <f t="shared" si="21"/>
        <v>#DIV/0!</v>
      </c>
      <c r="G161" s="6" t="e">
        <f t="shared" si="22"/>
        <v>#DIV/0!</v>
      </c>
      <c r="H161" s="6">
        <f t="shared" si="24"/>
        <v>0</v>
      </c>
      <c r="I161" s="6">
        <f t="shared" si="23"/>
        <v>0</v>
      </c>
      <c r="K161" s="46"/>
      <c r="L161" s="46"/>
    </row>
    <row r="162" spans="1:12" ht="18.75" hidden="1">
      <c r="A162" s="23" t="s">
        <v>26</v>
      </c>
      <c r="B162" s="88"/>
      <c r="C162" s="67"/>
      <c r="D162" s="67"/>
      <c r="E162" s="19"/>
      <c r="F162" s="6" t="e">
        <f>D162/B162*100</f>
        <v>#DIV/0!</v>
      </c>
      <c r="G162" s="6" t="e">
        <f t="shared" si="22"/>
        <v>#DIV/0!</v>
      </c>
      <c r="H162" s="6">
        <f t="shared" si="24"/>
        <v>0</v>
      </c>
      <c r="I162" s="6">
        <f t="shared" si="23"/>
        <v>0</v>
      </c>
      <c r="K162" s="46"/>
      <c r="L162" s="46"/>
    </row>
    <row r="163" spans="1:9" ht="18.75" hidden="1">
      <c r="A163" s="23" t="s">
        <v>52</v>
      </c>
      <c r="B163" s="88"/>
      <c r="C163" s="67"/>
      <c r="D163" s="67"/>
      <c r="E163" s="19"/>
      <c r="F163" s="6" t="e">
        <f>D163/B163*100</f>
        <v>#DIV/0!</v>
      </c>
      <c r="G163" s="6" t="e">
        <f t="shared" si="22"/>
        <v>#DIV/0!</v>
      </c>
      <c r="H163" s="6">
        <f t="shared" si="24"/>
        <v>0</v>
      </c>
      <c r="I163" s="6">
        <f t="shared" si="23"/>
        <v>0</v>
      </c>
    </row>
    <row r="164" spans="1:9" ht="19.5" customHeight="1" hidden="1">
      <c r="A164" s="23" t="s">
        <v>67</v>
      </c>
      <c r="B164" s="88"/>
      <c r="C164" s="67"/>
      <c r="D164" s="67"/>
      <c r="E164" s="19"/>
      <c r="F164" s="6" t="e">
        <f>D164/B164*100</f>
        <v>#DIV/0!</v>
      </c>
      <c r="G164" s="6" t="e">
        <f t="shared" si="22"/>
        <v>#DIV/0!</v>
      </c>
      <c r="H164" s="6">
        <f t="shared" si="24"/>
        <v>0</v>
      </c>
      <c r="I164" s="6">
        <f t="shared" si="23"/>
        <v>0</v>
      </c>
    </row>
    <row r="165" spans="1:9" ht="19.5" hidden="1" thickBot="1">
      <c r="A165" s="23" t="s">
        <v>61</v>
      </c>
      <c r="B165" s="88"/>
      <c r="C165" s="89"/>
      <c r="D165" s="89"/>
      <c r="E165" s="24"/>
      <c r="F165" s="6" t="e">
        <f>D165/B165*100</f>
        <v>#DIV/0!</v>
      </c>
      <c r="G165" s="6" t="e">
        <f t="shared" si="22"/>
        <v>#DIV/0!</v>
      </c>
      <c r="H165" s="6">
        <f t="shared" si="24"/>
        <v>0</v>
      </c>
      <c r="I165" s="6">
        <f t="shared" si="23"/>
        <v>0</v>
      </c>
    </row>
    <row r="166" spans="1:9" ht="19.5" hidden="1" thickBot="1">
      <c r="A166" s="14" t="s">
        <v>20</v>
      </c>
      <c r="B166" s="90">
        <f>B149+B157+B161+B162+B158+B165+B164+B159+B163+B160</f>
        <v>69138.2</v>
      </c>
      <c r="C166" s="90">
        <f>C149+C157+C161+C162+C158+C165+C164+C159+C163+C160</f>
        <v>209529.40000000002</v>
      </c>
      <c r="D166" s="90">
        <f>D149+D157+D161+D162+D158+D165+D164+D159+D163+D160</f>
        <v>48987</v>
      </c>
      <c r="E166" s="25"/>
      <c r="F166" s="3">
        <f>D166/B166*100</f>
        <v>70.85373932211137</v>
      </c>
      <c r="G166" s="3">
        <f t="shared" si="22"/>
        <v>23.37953528239951</v>
      </c>
      <c r="H166" s="3">
        <f>B166-D166</f>
        <v>20151.199999999997</v>
      </c>
      <c r="I166" s="3">
        <f t="shared" si="23"/>
        <v>160542.40000000002</v>
      </c>
    </row>
    <row r="167" spans="7:8" ht="12.75">
      <c r="G167" s="26"/>
      <c r="H167" s="26"/>
    </row>
    <row r="168" spans="7:9" ht="12.75">
      <c r="G168" s="26"/>
      <c r="H168" s="26"/>
      <c r="I168" s="26"/>
    </row>
    <row r="169" spans="7:8" ht="12.75">
      <c r="G169" s="26"/>
      <c r="H169" s="26"/>
    </row>
    <row r="170" spans="7:8" ht="12.75">
      <c r="G170" s="26"/>
      <c r="H170" s="26"/>
    </row>
    <row r="171" spans="7:8" ht="12.75">
      <c r="G171" s="26"/>
      <c r="H171" s="26"/>
    </row>
    <row r="172" spans="7:8" ht="12.75">
      <c r="G172" s="26"/>
      <c r="H172" s="26"/>
    </row>
    <row r="173" spans="7:8" ht="12.75">
      <c r="G173" s="26"/>
      <c r="H173" s="26"/>
    </row>
    <row r="174" spans="7:8" ht="12.75">
      <c r="G174" s="26"/>
      <c r="H174" s="26"/>
    </row>
    <row r="175" spans="7:8" ht="12.75">
      <c r="G175" s="26"/>
      <c r="H175" s="26"/>
    </row>
    <row r="176" spans="7:8" ht="12.75">
      <c r="G176" s="26"/>
      <c r="H176" s="26"/>
    </row>
    <row r="177" spans="7:8" ht="12.75">
      <c r="G177" s="26"/>
      <c r="H177" s="26"/>
    </row>
    <row r="178" spans="7:8" ht="12.75">
      <c r="G178" s="26"/>
      <c r="H178" s="26"/>
    </row>
    <row r="179" spans="7:8" ht="12.75">
      <c r="G179" s="26"/>
      <c r="H179" s="26"/>
    </row>
    <row r="180" spans="7:8" ht="12.75">
      <c r="G180" s="26"/>
      <c r="H180" s="26"/>
    </row>
    <row r="181" spans="7:8" ht="12.75">
      <c r="G181" s="26"/>
      <c r="H181" s="26"/>
    </row>
    <row r="182" spans="7:8" ht="12.75">
      <c r="G182" s="26"/>
      <c r="H182" s="26"/>
    </row>
    <row r="183" spans="7:8" ht="12.75">
      <c r="G183" s="26"/>
      <c r="H183" s="26"/>
    </row>
    <row r="184" spans="7:8" ht="12.75">
      <c r="G184" s="26"/>
      <c r="H184" s="26"/>
    </row>
    <row r="185" spans="7:8" ht="12.75">
      <c r="G185" s="26"/>
      <c r="H185" s="26"/>
    </row>
    <row r="186" spans="7:8" ht="12.75">
      <c r="G186" s="26"/>
      <c r="H186" s="26"/>
    </row>
    <row r="187" spans="7:8" ht="12.75">
      <c r="G187" s="26"/>
      <c r="H187" s="26"/>
    </row>
    <row r="188" spans="7:8" ht="12.75">
      <c r="G188" s="26"/>
      <c r="H188" s="26"/>
    </row>
    <row r="189" spans="7:8" ht="12.75">
      <c r="G189" s="26"/>
      <c r="H189" s="26"/>
    </row>
    <row r="190" spans="7:8" ht="12.75">
      <c r="G190" s="26"/>
      <c r="H190" s="26"/>
    </row>
    <row r="191" spans="7:8" ht="12.75">
      <c r="G191" s="26"/>
      <c r="H191" s="26"/>
    </row>
    <row r="192" spans="7:8" ht="12.75">
      <c r="G192" s="26"/>
      <c r="H192" s="26"/>
    </row>
    <row r="193" spans="7:8" ht="12.75">
      <c r="G193" s="26"/>
      <c r="H193" s="26"/>
    </row>
    <row r="194" spans="7:8" ht="12.75">
      <c r="G194" s="26"/>
      <c r="H194" s="26"/>
    </row>
    <row r="195" spans="7:8" ht="12.75">
      <c r="G195" s="26"/>
      <c r="H195" s="26"/>
    </row>
    <row r="196" spans="7:8" ht="12.75">
      <c r="G196" s="26"/>
      <c r="H196" s="26"/>
    </row>
    <row r="197" spans="7:8" ht="12.75">
      <c r="G197" s="26"/>
      <c r="H197" s="26"/>
    </row>
    <row r="198" spans="7:8" ht="12.75">
      <c r="G198" s="26"/>
      <c r="H198" s="26"/>
    </row>
    <row r="199" spans="7:8" ht="12.75">
      <c r="G199" s="26"/>
      <c r="H199" s="26"/>
    </row>
    <row r="200" spans="7:8" ht="12.75">
      <c r="G200" s="26"/>
      <c r="H200" s="26"/>
    </row>
    <row r="201" spans="7:8" ht="12.75">
      <c r="G201" s="26"/>
      <c r="H201" s="26"/>
    </row>
    <row r="202" spans="7:8" ht="12.75">
      <c r="G202" s="26"/>
      <c r="H202" s="26"/>
    </row>
    <row r="203" spans="7:8" ht="12.75">
      <c r="G203" s="26"/>
      <c r="H203" s="26"/>
    </row>
    <row r="204" spans="7:8" ht="12.75">
      <c r="G204" s="26"/>
      <c r="H204" s="26"/>
    </row>
    <row r="205" spans="7:8" ht="12.75">
      <c r="G205" s="26"/>
      <c r="H205" s="26"/>
    </row>
    <row r="206" spans="7:8" ht="12.75">
      <c r="G206" s="26"/>
      <c r="H206" s="26"/>
    </row>
    <row r="207" spans="7:8" ht="12.75">
      <c r="G207" s="26"/>
      <c r="H207" s="26"/>
    </row>
    <row r="208" spans="7:8" ht="12.75">
      <c r="G208" s="26"/>
      <c r="H208" s="26"/>
    </row>
    <row r="209" spans="7:8" ht="12.75">
      <c r="G209" s="26"/>
      <c r="H209" s="26"/>
    </row>
    <row r="210" spans="7:8" ht="12.75">
      <c r="G210" s="26"/>
      <c r="H210" s="26"/>
    </row>
    <row r="211" spans="7:8" ht="12.75">
      <c r="G211" s="26"/>
      <c r="H211" s="26"/>
    </row>
    <row r="212" spans="7:8" ht="12.75">
      <c r="G212" s="26"/>
      <c r="H212" s="26"/>
    </row>
    <row r="213" spans="7:8" ht="12.75">
      <c r="G213" s="26"/>
      <c r="H213" s="26"/>
    </row>
    <row r="214" spans="7:8" ht="12.75">
      <c r="G214" s="26"/>
      <c r="H214" s="26"/>
    </row>
    <row r="215" spans="7:8" ht="12.75">
      <c r="G215" s="26"/>
      <c r="H215" s="26"/>
    </row>
    <row r="216" spans="7:8" ht="12.75">
      <c r="G216" s="26"/>
      <c r="H216" s="26"/>
    </row>
    <row r="217" spans="7:8" ht="12.75">
      <c r="G217" s="26"/>
      <c r="H217" s="26"/>
    </row>
    <row r="218" spans="7:8" ht="12.75">
      <c r="G218" s="26"/>
      <c r="H218" s="26"/>
    </row>
    <row r="219" spans="7:8" ht="12.75">
      <c r="G219" s="26"/>
      <c r="H219" s="26"/>
    </row>
    <row r="220" spans="7:8" ht="12.75">
      <c r="G220" s="26"/>
      <c r="H220" s="26"/>
    </row>
    <row r="221" spans="7:8" ht="12.75">
      <c r="G221" s="26"/>
      <c r="H221" s="26"/>
    </row>
    <row r="222" spans="7:8" ht="12.75">
      <c r="G222" s="26"/>
      <c r="H222" s="26"/>
    </row>
    <row r="223" spans="7:8" ht="12.75">
      <c r="G223" s="26"/>
      <c r="H223" s="26"/>
    </row>
    <row r="224" spans="7:8" ht="12.75">
      <c r="G224" s="26"/>
      <c r="H224" s="26"/>
    </row>
    <row r="225" spans="7:8" ht="12.75">
      <c r="G225" s="26"/>
      <c r="H225" s="26"/>
    </row>
    <row r="226" spans="7:8" ht="12.75">
      <c r="G226" s="26"/>
      <c r="H226" s="26"/>
    </row>
    <row r="227" spans="7:8" ht="12.75">
      <c r="G227" s="26"/>
      <c r="H227" s="26"/>
    </row>
    <row r="228" spans="7:8" ht="12.75">
      <c r="G228" s="26"/>
      <c r="H228" s="26"/>
    </row>
    <row r="229" spans="7:8" ht="12.75">
      <c r="G229" s="26"/>
      <c r="H229" s="26"/>
    </row>
    <row r="230" spans="7:8" ht="12.75">
      <c r="G230" s="26"/>
      <c r="H230" s="26"/>
    </row>
    <row r="231" spans="7:8" ht="12.75">
      <c r="G231" s="26"/>
      <c r="H231" s="26"/>
    </row>
    <row r="232" spans="7:8" ht="12.75">
      <c r="G232" s="26"/>
      <c r="H232" s="26"/>
    </row>
    <row r="233" spans="7:8" ht="12.75">
      <c r="G233" s="26"/>
      <c r="H233" s="26"/>
    </row>
    <row r="234" spans="7:8" ht="12.75">
      <c r="G234" s="26"/>
      <c r="H234" s="26"/>
    </row>
    <row r="235" spans="7:8" ht="12.75">
      <c r="G235" s="26"/>
      <c r="H235" s="26"/>
    </row>
    <row r="236" spans="7:8" ht="12.75">
      <c r="G236" s="26"/>
      <c r="H236" s="26"/>
    </row>
    <row r="237" spans="7:8" ht="12.75">
      <c r="G237" s="26"/>
      <c r="H237" s="26"/>
    </row>
    <row r="238" spans="7:8" ht="12.75">
      <c r="G238" s="26"/>
      <c r="H238" s="26"/>
    </row>
    <row r="239" spans="7:8" ht="12.75">
      <c r="G239" s="26"/>
      <c r="H239" s="26"/>
    </row>
    <row r="240" spans="7:8" ht="12.75">
      <c r="G240" s="26"/>
      <c r="H240" s="26"/>
    </row>
    <row r="241" spans="7:8" ht="12.75">
      <c r="G241" s="26"/>
      <c r="H241" s="26"/>
    </row>
    <row r="242" spans="7:8" ht="12.75">
      <c r="G242" s="26"/>
      <c r="H242" s="26"/>
    </row>
    <row r="243" spans="7:8" ht="12.75">
      <c r="G243" s="26"/>
      <c r="H243" s="26"/>
    </row>
    <row r="244" spans="7:8" ht="12.75">
      <c r="G244" s="26"/>
      <c r="H244" s="26"/>
    </row>
    <row r="245" spans="7:8" ht="12.75">
      <c r="G245" s="26"/>
      <c r="H245" s="26"/>
    </row>
    <row r="246" spans="7:8" ht="12.75">
      <c r="G246" s="26"/>
      <c r="H246" s="26"/>
    </row>
    <row r="247" spans="7:8" ht="12.75">
      <c r="G247" s="26"/>
      <c r="H247" s="26"/>
    </row>
    <row r="248" spans="7:8" ht="12.75">
      <c r="G248" s="26"/>
      <c r="H248" s="26"/>
    </row>
    <row r="249" spans="7:8" ht="12.75">
      <c r="G249" s="26"/>
      <c r="H249" s="26"/>
    </row>
    <row r="250" spans="7:8" ht="12.75">
      <c r="G250" s="26"/>
      <c r="H250" s="26"/>
    </row>
    <row r="251" spans="7:8" ht="12.75">
      <c r="G251" s="26"/>
      <c r="H251" s="26"/>
    </row>
    <row r="252" spans="7:8" ht="12.75">
      <c r="G252" s="26"/>
      <c r="H252" s="26"/>
    </row>
    <row r="253" spans="7:8" ht="12.75">
      <c r="G253" s="26"/>
      <c r="H253" s="26"/>
    </row>
    <row r="254" spans="7:8" ht="12.75">
      <c r="G254" s="26"/>
      <c r="H254" s="26"/>
    </row>
    <row r="255" spans="7:8" ht="12.75">
      <c r="G255" s="26"/>
      <c r="H255" s="26"/>
    </row>
    <row r="256" spans="7:8" ht="12.75">
      <c r="G256" s="26"/>
      <c r="H256" s="26"/>
    </row>
    <row r="257" spans="7:8" ht="12.75">
      <c r="G257" s="26"/>
      <c r="H257" s="26"/>
    </row>
    <row r="258" spans="7:8" ht="12.75">
      <c r="G258" s="26"/>
      <c r="H258" s="26"/>
    </row>
    <row r="259" spans="7:8" ht="12.75">
      <c r="G259" s="26"/>
      <c r="H259" s="26"/>
    </row>
    <row r="260" spans="7:8" ht="12.75">
      <c r="G260" s="26"/>
      <c r="H260" s="26"/>
    </row>
    <row r="261" spans="7:8" ht="12.75">
      <c r="G261" s="26"/>
      <c r="H261" s="26"/>
    </row>
    <row r="262" spans="7:8" ht="12.75">
      <c r="G262" s="26"/>
      <c r="H262" s="26"/>
    </row>
    <row r="263" spans="7:8" ht="12.75">
      <c r="G263" s="26"/>
      <c r="H263" s="26"/>
    </row>
    <row r="264" spans="7:8" ht="12.75">
      <c r="G264" s="26"/>
      <c r="H264" s="26"/>
    </row>
    <row r="265" spans="7:8" ht="12.75">
      <c r="G265" s="26"/>
      <c r="H265" s="26"/>
    </row>
    <row r="266" spans="7:8" ht="12.75">
      <c r="G266" s="26"/>
      <c r="H266" s="26"/>
    </row>
    <row r="267" spans="7:8" ht="12.75">
      <c r="G267" s="26"/>
      <c r="H267" s="26"/>
    </row>
    <row r="268" spans="7:8" ht="12.75">
      <c r="G268" s="26"/>
      <c r="H268" s="26"/>
    </row>
    <row r="269" spans="7:8" ht="12.75">
      <c r="G269" s="26"/>
      <c r="H269" s="26"/>
    </row>
    <row r="270" spans="7:8" ht="12.75">
      <c r="G270" s="26"/>
      <c r="H270" s="26"/>
    </row>
    <row r="271" spans="7:8" ht="12.75">
      <c r="G271" s="26"/>
      <c r="H271" s="26"/>
    </row>
    <row r="272" spans="7:8" ht="12.75">
      <c r="G272" s="26"/>
      <c r="H272" s="26"/>
    </row>
    <row r="273" spans="7:8" ht="12.75">
      <c r="G273" s="26"/>
      <c r="H273" s="26"/>
    </row>
    <row r="274" spans="7:8" ht="12.75">
      <c r="G274" s="26"/>
      <c r="H274" s="26"/>
    </row>
    <row r="275" spans="7:8" ht="12.75">
      <c r="G275" s="26"/>
      <c r="H275" s="26"/>
    </row>
    <row r="276" spans="7:8" ht="12.75">
      <c r="G276" s="26"/>
      <c r="H276" s="26"/>
    </row>
    <row r="277" spans="7:8" ht="12.75">
      <c r="G277" s="26"/>
      <c r="H277" s="26"/>
    </row>
    <row r="278" spans="7:8" ht="12.75">
      <c r="G278" s="26"/>
      <c r="H278" s="26"/>
    </row>
    <row r="279" spans="7:8" ht="12.75">
      <c r="G279" s="26"/>
      <c r="H279" s="26"/>
    </row>
    <row r="280" spans="7:8" ht="12.75">
      <c r="G280" s="26"/>
      <c r="H280" s="26"/>
    </row>
    <row r="281" spans="7:8" ht="12.75">
      <c r="G281" s="26"/>
      <c r="H281" s="26"/>
    </row>
    <row r="282" spans="7:8" ht="12.75">
      <c r="G282" s="26"/>
      <c r="H282" s="26"/>
    </row>
    <row r="283" spans="7:8" ht="12.75">
      <c r="G283" s="26"/>
      <c r="H283" s="26"/>
    </row>
    <row r="284" spans="7:8" ht="12.75">
      <c r="G284" s="26"/>
      <c r="H284" s="26"/>
    </row>
    <row r="285" spans="7:8" ht="12.75">
      <c r="G285" s="26"/>
      <c r="H285" s="26"/>
    </row>
    <row r="286" spans="7:8" ht="12.75">
      <c r="G286" s="26"/>
      <c r="H286" s="26"/>
    </row>
    <row r="287" spans="7:8" ht="12.75">
      <c r="G287" s="26"/>
      <c r="H287" s="26"/>
    </row>
    <row r="288" spans="7:8" ht="12.75">
      <c r="G288" s="26"/>
      <c r="H288" s="26"/>
    </row>
    <row r="289" spans="7:8" ht="12.75">
      <c r="G289" s="26"/>
      <c r="H289" s="26"/>
    </row>
    <row r="290" spans="7:8" ht="12.75">
      <c r="G290" s="26"/>
      <c r="H290" s="26"/>
    </row>
    <row r="291" spans="7:8" ht="12.75">
      <c r="G291" s="26"/>
      <c r="H291" s="26"/>
    </row>
    <row r="292" spans="7:8" ht="12.75">
      <c r="G292" s="26"/>
      <c r="H292" s="26"/>
    </row>
    <row r="293" spans="7:8" ht="12.75">
      <c r="G293" s="26"/>
      <c r="H293" s="26"/>
    </row>
    <row r="294" spans="7:8" ht="12.75">
      <c r="G294" s="26"/>
      <c r="H294" s="26"/>
    </row>
    <row r="295" spans="7:8" ht="12.75">
      <c r="G295" s="26"/>
      <c r="H295" s="26"/>
    </row>
    <row r="296" spans="7:8" ht="12.75">
      <c r="G296" s="26"/>
      <c r="H296" s="26"/>
    </row>
    <row r="297" spans="7:8" ht="12.75">
      <c r="G297" s="26"/>
      <c r="H297" s="26"/>
    </row>
    <row r="298" spans="7:8" ht="12.75">
      <c r="G298" s="26"/>
      <c r="H298" s="26"/>
    </row>
    <row r="299" spans="7:8" ht="12.75">
      <c r="G299" s="26"/>
      <c r="H299" s="26"/>
    </row>
    <row r="300" spans="7:8" ht="12.75">
      <c r="G300" s="26"/>
      <c r="H300" s="26"/>
    </row>
    <row r="301" spans="7:8" ht="12.75">
      <c r="G301" s="26"/>
      <c r="H301" s="26"/>
    </row>
    <row r="302" spans="7:8" ht="12.75">
      <c r="G302" s="26"/>
      <c r="H302" s="26"/>
    </row>
    <row r="303" spans="7:8" ht="12.75">
      <c r="G303" s="26"/>
      <c r="H303" s="26"/>
    </row>
    <row r="304" spans="7:8" ht="12.75">
      <c r="G304" s="26"/>
      <c r="H304" s="26"/>
    </row>
    <row r="305" spans="7:8" ht="12.75">
      <c r="G305" s="26"/>
      <c r="H305" s="26"/>
    </row>
    <row r="306" spans="7:8" ht="12.75">
      <c r="G306" s="26"/>
      <c r="H306" s="26"/>
    </row>
    <row r="307" spans="7:8" ht="12.75">
      <c r="G307" s="26"/>
      <c r="H307" s="26"/>
    </row>
    <row r="308" spans="7:8" ht="12.75">
      <c r="G308" s="26"/>
      <c r="H308" s="26"/>
    </row>
    <row r="309" spans="7:8" ht="12.75">
      <c r="G309" s="26"/>
      <c r="H309" s="26"/>
    </row>
    <row r="310" spans="7:8" ht="12.75">
      <c r="G310" s="26"/>
      <c r="H310" s="26"/>
    </row>
    <row r="311" spans="7:8" ht="12.75">
      <c r="G311" s="26"/>
      <c r="H311" s="26"/>
    </row>
    <row r="312" spans="7:8" ht="12.75">
      <c r="G312" s="26"/>
      <c r="H312" s="26"/>
    </row>
    <row r="313" spans="7:8" ht="12.75">
      <c r="G313" s="26"/>
      <c r="H313" s="26"/>
    </row>
    <row r="314" spans="7:8" ht="12.75">
      <c r="G314" s="26"/>
      <c r="H314" s="26"/>
    </row>
    <row r="315" spans="7:8" ht="12.75">
      <c r="G315" s="26"/>
      <c r="H315" s="26"/>
    </row>
    <row r="316" spans="7:8" ht="12.75">
      <c r="G316" s="26"/>
      <c r="H316" s="26"/>
    </row>
    <row r="317" spans="7:8" ht="12.75">
      <c r="G317" s="26"/>
      <c r="H317" s="26"/>
    </row>
    <row r="318" spans="7:8" ht="12.75">
      <c r="G318" s="26"/>
      <c r="H318" s="26"/>
    </row>
    <row r="319" spans="7:8" ht="12.75">
      <c r="G319" s="26"/>
      <c r="H319" s="26"/>
    </row>
    <row r="320" spans="7:8" ht="12.75">
      <c r="G320" s="26"/>
      <c r="H320" s="26"/>
    </row>
    <row r="321" spans="7:8" ht="12.75">
      <c r="G321" s="26"/>
      <c r="H321" s="26"/>
    </row>
    <row r="322" spans="7:8" ht="12.75">
      <c r="G322" s="26"/>
      <c r="H322" s="26"/>
    </row>
    <row r="323" spans="7:8" ht="12.75">
      <c r="G323" s="26"/>
      <c r="H323" s="26"/>
    </row>
    <row r="324" spans="7:8" ht="12.75">
      <c r="G324" s="26"/>
      <c r="H324" s="26"/>
    </row>
    <row r="325" spans="7:8" ht="12.75">
      <c r="G325" s="26"/>
      <c r="H325" s="26"/>
    </row>
    <row r="326" spans="7:8" ht="12.75">
      <c r="G326" s="26"/>
      <c r="H326" s="26"/>
    </row>
    <row r="327" spans="7:8" ht="12.75">
      <c r="G327" s="26"/>
      <c r="H327" s="26"/>
    </row>
    <row r="328" spans="7:8" ht="12.75">
      <c r="G328" s="26"/>
      <c r="H328" s="26"/>
    </row>
    <row r="329" spans="7:8" ht="12.75">
      <c r="G329" s="26"/>
      <c r="H329" s="26"/>
    </row>
    <row r="330" spans="7:8" ht="12.75">
      <c r="G330" s="26"/>
      <c r="H330" s="26"/>
    </row>
    <row r="331" spans="7:8" ht="12.75">
      <c r="G331" s="26"/>
      <c r="H331" s="26"/>
    </row>
    <row r="332" spans="7:8" ht="12.75">
      <c r="G332" s="26"/>
      <c r="H332" s="26"/>
    </row>
    <row r="333" spans="7:8" ht="12.75">
      <c r="G333" s="26"/>
      <c r="H333" s="26"/>
    </row>
    <row r="334" spans="7:8" ht="12.75">
      <c r="G334" s="26"/>
      <c r="H334" s="26"/>
    </row>
    <row r="335" spans="7:8" ht="12.75">
      <c r="G335" s="26"/>
      <c r="H335" s="26"/>
    </row>
    <row r="336" spans="7:8" ht="12.75">
      <c r="G336" s="26"/>
      <c r="H336" s="26"/>
    </row>
    <row r="337" spans="7:8" ht="12.75">
      <c r="G337" s="26"/>
      <c r="H337" s="26"/>
    </row>
    <row r="338" spans="7:8" ht="12.75">
      <c r="G338" s="26"/>
      <c r="H338" s="26"/>
    </row>
    <row r="339" spans="7:8" ht="12.75">
      <c r="G339" s="26"/>
      <c r="H339" s="26"/>
    </row>
    <row r="340" spans="7:8" ht="12.75">
      <c r="G340" s="26"/>
      <c r="H340" s="26"/>
    </row>
    <row r="341" spans="7:8" ht="12.75">
      <c r="G341" s="26"/>
      <c r="H341" s="26"/>
    </row>
    <row r="342" spans="7:8" ht="12.75">
      <c r="G342" s="26"/>
      <c r="H342" s="26"/>
    </row>
    <row r="343" spans="7:8" ht="12.75">
      <c r="G343" s="26"/>
      <c r="H343" s="26"/>
    </row>
    <row r="344" spans="7:8" ht="12.75">
      <c r="G344" s="26"/>
      <c r="H344" s="26"/>
    </row>
    <row r="345" spans="7:8" ht="12.75">
      <c r="G345" s="26"/>
      <c r="H345" s="26"/>
    </row>
    <row r="346" spans="7:8" ht="12.75">
      <c r="G346" s="26"/>
      <c r="H346" s="26"/>
    </row>
    <row r="347" spans="7:8" ht="12.75">
      <c r="G347" s="26"/>
      <c r="H347" s="26"/>
    </row>
    <row r="348" spans="7:8" ht="12.75">
      <c r="G348" s="26"/>
      <c r="H348" s="26"/>
    </row>
    <row r="349" spans="7:8" ht="12.75">
      <c r="G349" s="26"/>
      <c r="H349" s="26"/>
    </row>
    <row r="350" spans="7:8" ht="12.75">
      <c r="G350" s="26"/>
      <c r="H350" s="26"/>
    </row>
    <row r="351" spans="7:8" ht="12.75">
      <c r="G351" s="26"/>
      <c r="H351" s="26"/>
    </row>
    <row r="352" spans="7:8" ht="12.75">
      <c r="G352" s="26"/>
      <c r="H352" s="26"/>
    </row>
    <row r="353" spans="7:8" ht="12.75">
      <c r="G353" s="26"/>
      <c r="H353" s="26"/>
    </row>
    <row r="354" spans="7:8" ht="12.75">
      <c r="G354" s="26"/>
      <c r="H354" s="26"/>
    </row>
    <row r="355" spans="7:8" ht="12.75">
      <c r="G355" s="26"/>
      <c r="H355" s="26"/>
    </row>
    <row r="356" spans="7:8" ht="12.75">
      <c r="G356" s="26"/>
      <c r="H356" s="26"/>
    </row>
    <row r="357" spans="7:8" ht="12.75">
      <c r="G357" s="26"/>
      <c r="H357" s="26"/>
    </row>
    <row r="358" spans="7:8" ht="12.75">
      <c r="G358" s="26"/>
      <c r="H358" s="26"/>
    </row>
    <row r="359" spans="7:8" ht="12.75">
      <c r="G359" s="26"/>
      <c r="H359" s="26"/>
    </row>
    <row r="360" spans="7:8" ht="12.75">
      <c r="G360" s="26"/>
      <c r="H360" s="26"/>
    </row>
    <row r="361" spans="7:8" ht="12.75">
      <c r="G361" s="26"/>
      <c r="H361" s="26"/>
    </row>
    <row r="362" spans="7:8" ht="12.75">
      <c r="G362" s="26"/>
      <c r="H362" s="26"/>
    </row>
    <row r="363" spans="7:8" ht="12.75">
      <c r="G363" s="26"/>
      <c r="H363" s="26"/>
    </row>
    <row r="364" spans="7:8" ht="12.75">
      <c r="G364" s="26"/>
      <c r="H364" s="26"/>
    </row>
    <row r="365" spans="7:8" ht="12.75">
      <c r="G365" s="26"/>
      <c r="H365" s="26"/>
    </row>
    <row r="366" spans="7:8" ht="12.75">
      <c r="G366" s="26"/>
      <c r="H366" s="26"/>
    </row>
    <row r="367" spans="7:8" ht="12.75">
      <c r="G367" s="26"/>
      <c r="H367" s="26"/>
    </row>
    <row r="368" spans="7:8" ht="12.75">
      <c r="G368" s="26"/>
      <c r="H368" s="26"/>
    </row>
    <row r="369" spans="7:8" ht="12.75">
      <c r="G369" s="26"/>
      <c r="H369" s="26"/>
    </row>
    <row r="370" spans="7:8" ht="12.75">
      <c r="G370" s="26"/>
      <c r="H370" s="26"/>
    </row>
    <row r="371" spans="7:8" ht="12.75">
      <c r="G371" s="26"/>
      <c r="H371" s="26"/>
    </row>
    <row r="372" spans="7:8" ht="12.75">
      <c r="G372" s="26"/>
      <c r="H372" s="26"/>
    </row>
    <row r="373" spans="7:8" ht="12.75">
      <c r="G373" s="26"/>
      <c r="H373" s="26"/>
    </row>
    <row r="374" spans="7:8" ht="12.75">
      <c r="G374" s="26"/>
      <c r="H374" s="26"/>
    </row>
    <row r="375" spans="7:8" ht="12.75">
      <c r="G375" s="26"/>
      <c r="H375" s="26"/>
    </row>
    <row r="376" spans="7:8" ht="12.75">
      <c r="G376" s="26"/>
      <c r="H376" s="26"/>
    </row>
    <row r="377" spans="7:8" ht="12.75">
      <c r="G377" s="26"/>
      <c r="H377" s="26"/>
    </row>
    <row r="378" spans="7:8" ht="12.75">
      <c r="G378" s="26"/>
      <c r="H378" s="26"/>
    </row>
    <row r="379" spans="7:8" ht="12.75">
      <c r="G379" s="26"/>
      <c r="H379" s="26"/>
    </row>
    <row r="380" spans="7:8" ht="12.75">
      <c r="G380" s="26"/>
      <c r="H380" s="26"/>
    </row>
    <row r="381" spans="7:8" ht="12.75">
      <c r="G381" s="26"/>
      <c r="H381" s="26"/>
    </row>
    <row r="382" spans="7:8" ht="12.75">
      <c r="G382" s="26"/>
      <c r="H382" s="26"/>
    </row>
    <row r="383" spans="7:8" ht="12.75">
      <c r="G383" s="26"/>
      <c r="H383" s="26"/>
    </row>
    <row r="384" spans="7:8" ht="12.75">
      <c r="G384" s="26"/>
      <c r="H384" s="26"/>
    </row>
    <row r="385" spans="7:8" ht="12.75">
      <c r="G385" s="26"/>
      <c r="H385" s="26"/>
    </row>
    <row r="386" spans="7:8" ht="12.75">
      <c r="G386" s="26"/>
      <c r="H386" s="26"/>
    </row>
    <row r="387" spans="7:8" ht="12.75">
      <c r="G387" s="26"/>
      <c r="H387" s="26"/>
    </row>
    <row r="388" spans="7:8" ht="12.75">
      <c r="G388" s="26"/>
      <c r="H388" s="26"/>
    </row>
    <row r="389" spans="7:8" ht="12.75">
      <c r="G389" s="26"/>
      <c r="H389" s="26"/>
    </row>
    <row r="390" spans="7:8" ht="12.75">
      <c r="G390" s="26"/>
      <c r="H390" s="26"/>
    </row>
    <row r="391" spans="7:8" ht="12.75">
      <c r="G391" s="26"/>
      <c r="H391" s="26"/>
    </row>
    <row r="392" spans="7:8" ht="12.75">
      <c r="G392" s="26"/>
      <c r="H392" s="26"/>
    </row>
    <row r="393" spans="7:8" ht="12.75">
      <c r="G393" s="26"/>
      <c r="H393" s="26"/>
    </row>
    <row r="394" spans="7:8" ht="12.75">
      <c r="G394" s="26"/>
      <c r="H394" s="26"/>
    </row>
    <row r="395" spans="7:8" ht="12.75">
      <c r="G395" s="26"/>
      <c r="H395" s="26"/>
    </row>
    <row r="396" spans="7:8" ht="12.75">
      <c r="G396" s="26"/>
      <c r="H396" s="26"/>
    </row>
    <row r="397" spans="7:8" ht="12.75">
      <c r="G397" s="26"/>
      <c r="H397" s="26"/>
    </row>
    <row r="398" spans="7:8" ht="12.75">
      <c r="G398" s="26"/>
      <c r="H398" s="26"/>
    </row>
    <row r="399" spans="7:8" ht="12.75">
      <c r="G399" s="26"/>
      <c r="H399" s="26"/>
    </row>
    <row r="400" spans="7:8" ht="12.75">
      <c r="G400" s="26"/>
      <c r="H400" s="26"/>
    </row>
    <row r="401" spans="7:8" ht="12.75">
      <c r="G401" s="26"/>
      <c r="H401" s="26"/>
    </row>
    <row r="402" spans="7:8" ht="12.75">
      <c r="G402" s="26"/>
      <c r="H402" s="26"/>
    </row>
    <row r="403" spans="7:8" ht="12.75">
      <c r="G403" s="26"/>
      <c r="H403" s="26"/>
    </row>
    <row r="404" spans="7:8" ht="12.75">
      <c r="G404" s="26"/>
      <c r="H404" s="26"/>
    </row>
    <row r="405" spans="7:8" ht="12.75">
      <c r="G405" s="26"/>
      <c r="H405" s="26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0" operator="lessThan" stopIfTrue="1">
      <formula>0</formula>
    </cfRule>
  </conditionalFormatting>
  <conditionalFormatting sqref="H6:I166">
    <cfRule type="cellIs" priority="2" dxfId="1" operator="lessThan" stopIfTrue="1">
      <formula>0</formula>
    </cfRule>
  </conditionalFormatting>
  <printOptions/>
  <pageMargins left="0.52" right="0.16" top="0.2" bottom="0.19" header="0.17" footer="0.18"/>
  <pageSetup horizontalDpi="600" verticalDpi="600" orientation="portrait" paperSize="9" scale="4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R17" sqref="R17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фінансування'!C149</f>
        <v>209529.40000000002</v>
      </c>
    </row>
    <row r="2" spans="1:5" ht="15.75">
      <c r="A2" s="4"/>
      <c r="B2" s="4"/>
      <c r="C2" s="4"/>
      <c r="D2" s="4" t="s">
        <v>38</v>
      </c>
      <c r="E2" s="5">
        <f>'аналіз фінансування'!D149</f>
        <v>48987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6" sqref="Q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Q21" sqref="Q2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25" sqref="S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2" sqref="R2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2" sqref="R2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9" sqref="Q19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Q16" sqref="Q16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Q15" sqref="Q15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фінансування'!C149</f>
        <v>209529.40000000002</v>
      </c>
    </row>
    <row r="2" spans="1:5" ht="15.75">
      <c r="A2" s="4"/>
      <c r="B2" s="4"/>
      <c r="C2" s="4"/>
      <c r="D2" s="4" t="s">
        <v>38</v>
      </c>
      <c r="E2" s="5">
        <f>'аналіз фінансування'!D149</f>
        <v>48987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2015-12-30T12:22:18Z</cp:lastPrinted>
  <dcterms:created xsi:type="dcterms:W3CDTF">2000-06-20T04:48:00Z</dcterms:created>
  <dcterms:modified xsi:type="dcterms:W3CDTF">2016-01-27T06:13:39Z</dcterms:modified>
  <cp:category/>
  <cp:version/>
  <cp:contentType/>
  <cp:contentStatus/>
</cp:coreProperties>
</file>